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egamez\Desktop\GERSON   2021\POA 2021 SEgeplan\kathe\"/>
    </mc:Choice>
  </mc:AlternateContent>
  <bookViews>
    <workbookView xWindow="0" yWindow="0" windowWidth="23040" windowHeight="9396" tabRatio="768" firstSheet="15" activeTab="17"/>
  </bookViews>
  <sheets>
    <sheet name="Carátula" sheetId="1" r:id="rId1"/>
    <sheet name="Contenidos PEI-POM-POA" sheetId="102" r:id="rId2"/>
    <sheet name="Introducción" sheetId="51" r:id="rId3"/>
    <sheet name="SPPD-01 Mandatos " sheetId="53" r:id="rId4"/>
    <sheet name="SPPD-02 AnalisisPolíticas" sheetId="46" r:id="rId5"/>
    <sheet name="SPPD-04  Ident. Prior. de Prob." sheetId="135" r:id="rId6"/>
    <sheet name="SPPD-05 Población" sheetId="136" r:id="rId7"/>
    <sheet name="Lista a seleccionar" sheetId="137" state="hidden" r:id="rId8"/>
    <sheet name="SPPD-06 Evidencias" sheetId="60" r:id="rId9"/>
    <sheet name="SPPD-7 Matriz PEI" sheetId="75" r:id="rId10"/>
    <sheet name="SPPD-8 Ficha Indicador" sheetId="79" r:id="rId11"/>
    <sheet name="SPPD-9 Visión, Misión, Valores" sheetId="35" r:id="rId12"/>
    <sheet name="SPPD-10 FODA" sheetId="139" r:id="rId13"/>
    <sheet name="SPPD-11 Análisis de Actores" sheetId="138" r:id="rId14"/>
    <sheet name="SPPD-12 POM" sheetId="89" r:id="rId15"/>
    <sheet name="SPPD-13 Ficha Seguimiento POM" sheetId="91" r:id="rId16"/>
    <sheet name="SPPD-14 POA" sheetId="122" r:id="rId17"/>
    <sheet name="SPPD-15PROG. MENS PROD.SUBP ACC" sheetId="125" r:id="rId18"/>
    <sheet name="SPPD-16 Ficha Seguimiento POA " sheetId="126" r:id="rId19"/>
    <sheet name="Anexo-2 Clasif.Tematicos" sheetId="83" r:id="rId20"/>
    <sheet name="Vinculación Intitucional" sheetId="141" r:id="rId21"/>
    <sheet name="Hoja1" sheetId="142" r:id="rId22"/>
  </sheets>
  <externalReferences>
    <externalReference r:id="rId23"/>
    <externalReference r:id="rId24"/>
    <externalReference r:id="rId25"/>
  </externalReferences>
  <definedNames>
    <definedName name="_xlnm._FilterDatabase" localSheetId="17" hidden="1">'SPPD-15PROG. MENS PROD.SUBP ACC'!$X$4:$AC$153</definedName>
    <definedName name="_ftn1" localSheetId="8">'SPPD-06 Evidencias'!#REF!</definedName>
    <definedName name="_ftnref1" localSheetId="8">'SPPD-06 Evidencias'!#REF!</definedName>
    <definedName name="_xlnm.Print_Area" localSheetId="19">'Anexo-2 Clasif.Tematicos'!$A$1:$D$17</definedName>
    <definedName name="_xlnm.Print_Area" localSheetId="3">'SPPD-01 Mandatos '!$A$1:$C$48</definedName>
    <definedName name="_xlnm.Print_Area" localSheetId="4">'SPPD-02 AnalisisPolíticas'!$A$1:$G$36</definedName>
    <definedName name="_xlnm.Print_Area" localSheetId="5">'SPPD-04  Ident. Prior. de Prob.'!$A$1:$U$20</definedName>
    <definedName name="_xlnm.Print_Area" localSheetId="8">'SPPD-06 Evidencias'!$A$1:$M$35</definedName>
    <definedName name="_xlnm.Print_Area" localSheetId="13">'SPPD-11 Análisis de Actores'!$A$2:$I$28</definedName>
    <definedName name="_xlnm.Print_Area" localSheetId="15">'SPPD-13 Ficha Seguimiento POM'!$A$1:$U$25</definedName>
    <definedName name="_xlnm.Print_Area" localSheetId="17">'SPPD-15PROG. MENS PROD.SUBP ACC'!$A$1:$AJ$153</definedName>
    <definedName name="_xlnm.Print_Area" localSheetId="18">'SPPD-16 Ficha Seguimiento POA '!$A$1:$R$23</definedName>
    <definedName name="_xlnm.Print_Area" localSheetId="9">'SPPD-7 Matriz PEI'!$A$1:$P$14</definedName>
    <definedName name="_xlnm.Print_Area" localSheetId="10">'SPPD-8 Ficha Indicador'!$A$1:$I$43</definedName>
    <definedName name="_xlnm.Print_Area" localSheetId="11">'SPPD-9 Visión, Misión, Valores'!$A$1:$F$26</definedName>
    <definedName name="DPSE_21" localSheetId="5">#REF!</definedName>
    <definedName name="DPSE_21" localSheetId="16">#REF!</definedName>
    <definedName name="DPSE_21" localSheetId="17">#REF!</definedName>
    <definedName name="DPSE_21" localSheetId="18">#REF!</definedName>
    <definedName name="DPSE_21">#REF!</definedName>
    <definedName name="DPSE25" localSheetId="5">#REF!</definedName>
    <definedName name="DPSE25" localSheetId="18">#REF!</definedName>
    <definedName name="DPSE25">#REF!</definedName>
    <definedName name="OLE_LINK5" localSheetId="5">'SPPD-04  Ident. Prior. de Prob.'!$B$28</definedName>
    <definedName name="_xlnm.Print_Titles" localSheetId="19">'Anexo-2 Clasif.Tematicos'!$2:$2</definedName>
    <definedName name="_xlnm.Print_Titles" localSheetId="5">'SPPD-04  Ident. Prior. de Prob.'!$A:$C,'SPPD-04  Ident. Prior. de Prob.'!$2:$5</definedName>
    <definedName name="_xlnm.Print_Titles" localSheetId="17">'SPPD-15PROG. MENS PROD.SUBP ACC'!$1:$3</definedName>
    <definedName name="_xlnm.Print_Titles" localSheetId="10">'SPPD-8 Ficha Indicador'!$1:$2</definedName>
    <definedName name="Z_4FD28BFF_A4CF_416E_91D3_B2989AA79332_.wvu.PrintArea" localSheetId="10" hidden="1">'SPPD-8 Ficha Indicador'!$A$1:$H$41</definedName>
    <definedName name="Z_4FD28BFF_A4CF_416E_91D3_B2989AA79332_.wvu.PrintTitles" localSheetId="19" hidden="1">'Anexo-2 Clasif.Tematicos'!$2:$2</definedName>
  </definedNames>
  <calcPr calcId="152511"/>
  <customWorkbookViews>
    <customWorkbookView name="Alicia Miosoti Cifuentes Soto - Vista personalizada" guid="{4FD28BFF-A4CF-416E-91D3-B2989AA79332}" mergeInterval="0" personalView="1" maximized="1" windowWidth="1276" windowHeight="878" tabRatio="943" activeSheetId="6"/>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83" i="125" l="1"/>
  <c r="V82" i="125"/>
  <c r="S82" i="125"/>
  <c r="T82" i="125"/>
  <c r="U82" i="125"/>
  <c r="R82" i="125"/>
  <c r="Q82" i="125"/>
  <c r="O82" i="125"/>
  <c r="P82" i="125"/>
  <c r="N82" i="125"/>
  <c r="M82" i="125"/>
  <c r="T127" i="125" l="1"/>
  <c r="R127" i="125"/>
  <c r="Q127" i="125"/>
  <c r="O127" i="125"/>
  <c r="N127" i="125"/>
  <c r="M127" i="125" l="1"/>
  <c r="W143" i="125"/>
  <c r="W141" i="125"/>
  <c r="U127" i="125"/>
  <c r="S127" i="125"/>
  <c r="P127" i="125"/>
  <c r="AI143" i="125"/>
  <c r="AG75" i="125"/>
  <c r="AI45" i="125"/>
  <c r="AH45" i="125"/>
  <c r="AG45" i="125"/>
  <c r="W45" i="125"/>
  <c r="AE45" i="125" s="1"/>
  <c r="AF45" i="125" s="1"/>
  <c r="AI75" i="125"/>
  <c r="AH75" i="125"/>
  <c r="W127" i="125" l="1"/>
  <c r="W75" i="125"/>
  <c r="AE75" i="125" s="1"/>
  <c r="AF75" i="125" s="1"/>
  <c r="AI68" i="125" l="1"/>
  <c r="AH68" i="125"/>
  <c r="AG68" i="125"/>
  <c r="AF68" i="125"/>
  <c r="W68" i="125"/>
  <c r="AI67" i="125"/>
  <c r="AH67" i="125"/>
  <c r="AG67" i="125"/>
  <c r="AF67" i="125"/>
  <c r="W67" i="125"/>
  <c r="AI66" i="125"/>
  <c r="AH66" i="125"/>
  <c r="AG66" i="125"/>
  <c r="AF66" i="125"/>
  <c r="W66" i="125"/>
  <c r="AI19" i="125"/>
  <c r="AH19" i="125"/>
  <c r="AG19" i="125"/>
  <c r="W19" i="125"/>
  <c r="AE19" i="125" s="1"/>
  <c r="AF19" i="125" s="1"/>
  <c r="AI18" i="125"/>
  <c r="AH18" i="125"/>
  <c r="AG18" i="125"/>
  <c r="W18" i="125"/>
  <c r="AE18" i="125" s="1"/>
  <c r="AF18" i="125" s="1"/>
  <c r="AI65" i="125"/>
  <c r="AH65" i="125"/>
  <c r="AG65" i="125"/>
  <c r="W65" i="125"/>
  <c r="AE65" i="125" s="1"/>
  <c r="AF65" i="125" s="1"/>
  <c r="AI17" i="125"/>
  <c r="AH17" i="125"/>
  <c r="AG17" i="125"/>
  <c r="W17" i="125"/>
  <c r="AE17" i="125" s="1"/>
  <c r="AF17" i="125" s="1"/>
  <c r="AI16" i="125"/>
  <c r="AH16" i="125"/>
  <c r="AG16" i="125"/>
  <c r="W16" i="125"/>
  <c r="AE16" i="125" s="1"/>
  <c r="AF16" i="125" s="1"/>
  <c r="AI64" i="125"/>
  <c r="AH64" i="125"/>
  <c r="AG64" i="125"/>
  <c r="W64" i="125"/>
  <c r="AE64" i="125" s="1"/>
  <c r="AF64" i="125" s="1"/>
  <c r="AI63" i="125"/>
  <c r="AH63" i="125"/>
  <c r="AG63" i="125"/>
  <c r="AF63" i="125"/>
  <c r="W63" i="125"/>
  <c r="AI62" i="125"/>
  <c r="AH62" i="125"/>
  <c r="AG62" i="125"/>
  <c r="W62" i="125"/>
  <c r="AE62" i="125" s="1"/>
  <c r="AF62" i="125" s="1"/>
  <c r="AI61" i="125"/>
  <c r="AH61" i="125"/>
  <c r="AG61" i="125"/>
  <c r="W61" i="125"/>
  <c r="AE61" i="125" s="1"/>
  <c r="AF61" i="125" s="1"/>
  <c r="AI80" i="125" l="1"/>
  <c r="AH80" i="125"/>
  <c r="AG80" i="125"/>
  <c r="W80" i="125"/>
  <c r="AE80" i="125" s="1"/>
  <c r="AF80" i="125" s="1"/>
  <c r="M42" i="125"/>
  <c r="W33" i="125"/>
  <c r="W34" i="125"/>
  <c r="W35" i="125"/>
  <c r="W32" i="125"/>
  <c r="AE32" i="125" s="1"/>
  <c r="AF32" i="125" s="1"/>
  <c r="AG32" i="125"/>
  <c r="AH32" i="125"/>
  <c r="AI32" i="125"/>
  <c r="AI51" i="125"/>
  <c r="AH51" i="125"/>
  <c r="AG51" i="125"/>
  <c r="W51" i="125"/>
  <c r="AE51" i="125" s="1"/>
  <c r="AF51" i="125" s="1"/>
  <c r="AI144" i="125" l="1"/>
  <c r="AH144" i="125"/>
  <c r="AG144" i="125"/>
  <c r="W144" i="125"/>
  <c r="AE144" i="125" s="1"/>
  <c r="AF144" i="125" s="1"/>
  <c r="W142" i="125"/>
  <c r="L128" i="125" l="1"/>
  <c r="M128" i="125"/>
  <c r="N128" i="125"/>
  <c r="O128" i="125"/>
  <c r="P128" i="125"/>
  <c r="V128" i="125"/>
  <c r="K128" i="125"/>
  <c r="W77" i="125" l="1"/>
  <c r="W78" i="125"/>
  <c r="AE78" i="125" s="1"/>
  <c r="AF78" i="125" s="1"/>
  <c r="W79" i="125"/>
  <c r="AE79" i="125" s="1"/>
  <c r="AF79" i="125" s="1"/>
  <c r="W81" i="125"/>
  <c r="AE81" i="125" s="1"/>
  <c r="AF81" i="125" s="1"/>
  <c r="W82" i="125"/>
  <c r="AE82" i="125" s="1"/>
  <c r="AF82" i="125" s="1"/>
  <c r="W83" i="125"/>
  <c r="AE83" i="125" s="1"/>
  <c r="AF83" i="125" s="1"/>
  <c r="W76" i="125"/>
  <c r="AI83" i="125"/>
  <c r="AH83" i="125"/>
  <c r="AG83" i="125"/>
  <c r="AI82" i="125"/>
  <c r="AH82" i="125"/>
  <c r="AG82" i="125"/>
  <c r="AI81" i="125"/>
  <c r="AH81" i="125"/>
  <c r="AG81" i="125"/>
  <c r="O46" i="125" l="1"/>
  <c r="V122" i="125"/>
  <c r="V116" i="125" s="1"/>
  <c r="U122" i="125"/>
  <c r="U116" i="125" s="1"/>
  <c r="T122" i="125"/>
  <c r="T116" i="125" s="1"/>
  <c r="S122" i="125"/>
  <c r="S116" i="125" s="1"/>
  <c r="R122" i="125"/>
  <c r="R116" i="125" s="1"/>
  <c r="Q122" i="125"/>
  <c r="Q116" i="125" s="1"/>
  <c r="P122" i="125"/>
  <c r="P116" i="125" s="1"/>
  <c r="O122" i="125"/>
  <c r="O116" i="125" s="1"/>
  <c r="N122" i="125"/>
  <c r="N116" i="125" s="1"/>
  <c r="M122" i="125"/>
  <c r="M116" i="125" s="1"/>
  <c r="L122" i="125"/>
  <c r="L116" i="125" s="1"/>
  <c r="K122" i="125"/>
  <c r="K116" i="125" s="1"/>
  <c r="V101" i="125"/>
  <c r="V98" i="125" s="1"/>
  <c r="U101" i="125"/>
  <c r="U98" i="125" s="1"/>
  <c r="T101" i="125"/>
  <c r="T98" i="125" s="1"/>
  <c r="S101" i="125"/>
  <c r="S98" i="125" s="1"/>
  <c r="R101" i="125"/>
  <c r="R98" i="125" s="1"/>
  <c r="Q101" i="125"/>
  <c r="Q98" i="125" s="1"/>
  <c r="P101" i="125"/>
  <c r="P98" i="125" s="1"/>
  <c r="O101" i="125"/>
  <c r="O98" i="125" s="1"/>
  <c r="N101" i="125"/>
  <c r="N98" i="125" s="1"/>
  <c r="M101" i="125"/>
  <c r="M98" i="125" s="1"/>
  <c r="L101" i="125"/>
  <c r="L98" i="125" s="1"/>
  <c r="K101" i="125"/>
  <c r="K98" i="125" s="1"/>
  <c r="V93" i="125"/>
  <c r="V87" i="125" s="1"/>
  <c r="U93" i="125"/>
  <c r="U87" i="125" s="1"/>
  <c r="T93" i="125"/>
  <c r="T87" i="125" s="1"/>
  <c r="S93" i="125"/>
  <c r="S87" i="125" s="1"/>
  <c r="R93" i="125"/>
  <c r="R87" i="125" s="1"/>
  <c r="Q93" i="125"/>
  <c r="Q87" i="125" s="1"/>
  <c r="P93" i="125"/>
  <c r="P87" i="125" s="1"/>
  <c r="O93" i="125"/>
  <c r="O87" i="125" s="1"/>
  <c r="N93" i="125"/>
  <c r="N87" i="125" s="1"/>
  <c r="M93" i="125"/>
  <c r="M87" i="125" s="1"/>
  <c r="L93" i="125"/>
  <c r="L87" i="125" s="1"/>
  <c r="K93" i="125"/>
  <c r="V11" i="125"/>
  <c r="V7" i="125" s="1"/>
  <c r="U11" i="125"/>
  <c r="U7" i="125" s="1"/>
  <c r="T11" i="125"/>
  <c r="T7" i="125" s="1"/>
  <c r="S11" i="125"/>
  <c r="S7" i="125" s="1"/>
  <c r="R11" i="125"/>
  <c r="R7" i="125" s="1"/>
  <c r="Q11" i="125"/>
  <c r="Q7" i="125" s="1"/>
  <c r="P11" i="125"/>
  <c r="P7" i="125" s="1"/>
  <c r="O11" i="125"/>
  <c r="O7" i="125" s="1"/>
  <c r="N11" i="125"/>
  <c r="N7" i="125" s="1"/>
  <c r="M11" i="125"/>
  <c r="M7" i="125" s="1"/>
  <c r="L11" i="125"/>
  <c r="L7" i="125" s="1"/>
  <c r="K11" i="125"/>
  <c r="K7" i="125" s="1"/>
  <c r="W11" i="125" l="1"/>
  <c r="AI105" i="125" l="1"/>
  <c r="AH105" i="125"/>
  <c r="AG105" i="125"/>
  <c r="W105" i="125"/>
  <c r="AE105" i="125" s="1"/>
  <c r="AF105" i="125" s="1"/>
  <c r="AI152" i="125" l="1"/>
  <c r="AH152" i="125"/>
  <c r="AG152" i="125"/>
  <c r="W152" i="125"/>
  <c r="AE152" i="125" s="1"/>
  <c r="AF152" i="125" s="1"/>
  <c r="W151" i="125"/>
  <c r="AE151" i="125" s="1"/>
  <c r="AF151" i="125" s="1"/>
  <c r="W150" i="125"/>
  <c r="AI151" i="125"/>
  <c r="AH151" i="125"/>
  <c r="AG151" i="125"/>
  <c r="U149" i="125"/>
  <c r="T149" i="125"/>
  <c r="S149" i="125"/>
  <c r="R149" i="125"/>
  <c r="Q149" i="125"/>
  <c r="U147" i="125"/>
  <c r="T147" i="125"/>
  <c r="S147" i="125"/>
  <c r="R147" i="125"/>
  <c r="Q147" i="125"/>
  <c r="AG147" i="125"/>
  <c r="U146" i="125"/>
  <c r="U128" i="125" s="1"/>
  <c r="T146" i="125"/>
  <c r="T128" i="125" s="1"/>
  <c r="S146" i="125"/>
  <c r="R146" i="125"/>
  <c r="R128" i="125" s="1"/>
  <c r="Q146" i="125"/>
  <c r="Q128" i="125" s="1"/>
  <c r="AH147" i="125" l="1"/>
  <c r="W147" i="125"/>
  <c r="AE147" i="125" s="1"/>
  <c r="AF147" i="125" s="1"/>
  <c r="W146" i="125"/>
  <c r="AE146" i="125" s="1"/>
  <c r="AF146" i="125" s="1"/>
  <c r="S128" i="125"/>
  <c r="AI147" i="125"/>
  <c r="AG69" i="125"/>
  <c r="AH69" i="125"/>
  <c r="AI69" i="125"/>
  <c r="W102" i="125" l="1"/>
  <c r="AE102" i="125" s="1"/>
  <c r="AF102" i="125" s="1"/>
  <c r="AG102" i="125"/>
  <c r="AH102" i="125"/>
  <c r="AI102" i="125"/>
  <c r="W106" i="125"/>
  <c r="Y106" i="125"/>
  <c r="AG106" i="125"/>
  <c r="AH106" i="125"/>
  <c r="AI106" i="125"/>
  <c r="W107" i="125"/>
  <c r="Y107" i="125"/>
  <c r="AG107" i="125"/>
  <c r="AH107" i="125"/>
  <c r="AI107" i="125"/>
  <c r="W108" i="125"/>
  <c r="AE108" i="125" s="1"/>
  <c r="AF108" i="125" s="1"/>
  <c r="AG108" i="125"/>
  <c r="AH108" i="125"/>
  <c r="AI108" i="125"/>
  <c r="AE107" i="125" l="1"/>
  <c r="AF107" i="125" s="1"/>
  <c r="AE106" i="125"/>
  <c r="AF106" i="125" s="1"/>
  <c r="AI34" i="125"/>
  <c r="AH34" i="125"/>
  <c r="AG34" i="125"/>
  <c r="AF34" i="125"/>
  <c r="AI33" i="125"/>
  <c r="AH33" i="125"/>
  <c r="AG33" i="125"/>
  <c r="AF33" i="125"/>
  <c r="AH31" i="125" l="1"/>
  <c r="AG31" i="125"/>
  <c r="AI30" i="125"/>
  <c r="AH30" i="125"/>
  <c r="AG30" i="125"/>
  <c r="W30" i="125"/>
  <c r="AE30" i="125" s="1"/>
  <c r="AF30" i="125" s="1"/>
  <c r="AI29" i="125"/>
  <c r="AH29" i="125"/>
  <c r="AG29" i="125"/>
  <c r="W29" i="125"/>
  <c r="AE29" i="125" s="1"/>
  <c r="AF29" i="125" s="1"/>
  <c r="AI28" i="125"/>
  <c r="AH28" i="125"/>
  <c r="AG28" i="125"/>
  <c r="W28" i="125"/>
  <c r="AE28" i="125" s="1"/>
  <c r="AF28" i="125" s="1"/>
  <c r="W149" i="125" l="1"/>
  <c r="AE149" i="125" s="1"/>
  <c r="AF149" i="125" s="1"/>
  <c r="AI131" i="125"/>
  <c r="AI132" i="125"/>
  <c r="AI133" i="125"/>
  <c r="AI134" i="125"/>
  <c r="AI135" i="125"/>
  <c r="AI136" i="125"/>
  <c r="AI137" i="125"/>
  <c r="AI138" i="125"/>
  <c r="AI139" i="125"/>
  <c r="AI140" i="125"/>
  <c r="AI145" i="125"/>
  <c r="AI146" i="125"/>
  <c r="AI148" i="125"/>
  <c r="AI149" i="125"/>
  <c r="AI150" i="125"/>
  <c r="AH131" i="125"/>
  <c r="AH132" i="125"/>
  <c r="AH133" i="125"/>
  <c r="AH134" i="125"/>
  <c r="AH135" i="125"/>
  <c r="AH136" i="125"/>
  <c r="AH137" i="125"/>
  <c r="AH138" i="125"/>
  <c r="AH139" i="125"/>
  <c r="AH140" i="125"/>
  <c r="AH145" i="125"/>
  <c r="AH146" i="125"/>
  <c r="AH148" i="125"/>
  <c r="AH149" i="125"/>
  <c r="AH150" i="125"/>
  <c r="AG131" i="125"/>
  <c r="AG132" i="125"/>
  <c r="AG133" i="125"/>
  <c r="AG134" i="125"/>
  <c r="AG135" i="125"/>
  <c r="AG136" i="125"/>
  <c r="AG137" i="125"/>
  <c r="AG138" i="125"/>
  <c r="AG139" i="125"/>
  <c r="AG140" i="125"/>
  <c r="AG145" i="125"/>
  <c r="AG146" i="125"/>
  <c r="AG148" i="125"/>
  <c r="AG149" i="125"/>
  <c r="AG150" i="125"/>
  <c r="AI119" i="125"/>
  <c r="AI120" i="125"/>
  <c r="AI121" i="125"/>
  <c r="AI123" i="125"/>
  <c r="AI124" i="125"/>
  <c r="AI125" i="125"/>
  <c r="AI126" i="125"/>
  <c r="AH119" i="125"/>
  <c r="AH120" i="125"/>
  <c r="AH121" i="125"/>
  <c r="AH123" i="125"/>
  <c r="AH124" i="125"/>
  <c r="AH125" i="125"/>
  <c r="AH126" i="125"/>
  <c r="AG119" i="125"/>
  <c r="AG120" i="125"/>
  <c r="AG121" i="125"/>
  <c r="AG123" i="125"/>
  <c r="AG124" i="125"/>
  <c r="AG125" i="125"/>
  <c r="AG126" i="125"/>
  <c r="AI103" i="125"/>
  <c r="AI104" i="125"/>
  <c r="AI109" i="125"/>
  <c r="AI110" i="125"/>
  <c r="AI111" i="125"/>
  <c r="AI112" i="125"/>
  <c r="AI113" i="125"/>
  <c r="AI114" i="125"/>
  <c r="AH103" i="125"/>
  <c r="AH104" i="125"/>
  <c r="AH109" i="125"/>
  <c r="AH110" i="125"/>
  <c r="AH111" i="125"/>
  <c r="AH112" i="125"/>
  <c r="AH113" i="125"/>
  <c r="AH114" i="125"/>
  <c r="AG103" i="125"/>
  <c r="AG104" i="125"/>
  <c r="AG109" i="125"/>
  <c r="AG110" i="125"/>
  <c r="AG111" i="125"/>
  <c r="AG112" i="125"/>
  <c r="AG113" i="125"/>
  <c r="AG114" i="125"/>
  <c r="AI90" i="125"/>
  <c r="AI91" i="125"/>
  <c r="AI92" i="125"/>
  <c r="AI94" i="125"/>
  <c r="AI95" i="125"/>
  <c r="AI96" i="125"/>
  <c r="AH90" i="125"/>
  <c r="AH91" i="125"/>
  <c r="AH92" i="125"/>
  <c r="AH94" i="125"/>
  <c r="AH95" i="125"/>
  <c r="AH96" i="125"/>
  <c r="AG90" i="125"/>
  <c r="AG91" i="125"/>
  <c r="AG92" i="125"/>
  <c r="AG94" i="125"/>
  <c r="AG95" i="125"/>
  <c r="AG96" i="125"/>
  <c r="AI10" i="125"/>
  <c r="AI12" i="125"/>
  <c r="AI13" i="125"/>
  <c r="AI14" i="125"/>
  <c r="AI15" i="125"/>
  <c r="AI20" i="125"/>
  <c r="AI21" i="125"/>
  <c r="AI22" i="125"/>
  <c r="AI23" i="125"/>
  <c r="AI24" i="125"/>
  <c r="AI25" i="125"/>
  <c r="AI26" i="125"/>
  <c r="AI27" i="125"/>
  <c r="AI35" i="125"/>
  <c r="AI37" i="125"/>
  <c r="AI38" i="125"/>
  <c r="AI39" i="125"/>
  <c r="AI40" i="125"/>
  <c r="AI41" i="125"/>
  <c r="AI42" i="125"/>
  <c r="AI43" i="125"/>
  <c r="AI44" i="125"/>
  <c r="AI46" i="125"/>
  <c r="AI47" i="125"/>
  <c r="AI49" i="125"/>
  <c r="AI50" i="125"/>
  <c r="AI52" i="125"/>
  <c r="AI53" i="125"/>
  <c r="AI54" i="125"/>
  <c r="AI55" i="125"/>
  <c r="AI56" i="125"/>
  <c r="AI57" i="125"/>
  <c r="AI58" i="125"/>
  <c r="AI59" i="125"/>
  <c r="AI60" i="125"/>
  <c r="AI70" i="125"/>
  <c r="AI71" i="125"/>
  <c r="AI72" i="125"/>
  <c r="AI73" i="125"/>
  <c r="AI74" i="125"/>
  <c r="AI76" i="125"/>
  <c r="AI78" i="125"/>
  <c r="AH10" i="125"/>
  <c r="AH12" i="125"/>
  <c r="AH13" i="125"/>
  <c r="AH14" i="125"/>
  <c r="AH15" i="125"/>
  <c r="AH20" i="125"/>
  <c r="AH21" i="125"/>
  <c r="AH22" i="125"/>
  <c r="AH23" i="125"/>
  <c r="AH24" i="125"/>
  <c r="AH25" i="125"/>
  <c r="AH26" i="125"/>
  <c r="AH27" i="125"/>
  <c r="AH35" i="125"/>
  <c r="AH37" i="125"/>
  <c r="AH38" i="125"/>
  <c r="AH39" i="125"/>
  <c r="AH40" i="125"/>
  <c r="AH41" i="125"/>
  <c r="AH42" i="125"/>
  <c r="AH43" i="125"/>
  <c r="AH44" i="125"/>
  <c r="AH47" i="125"/>
  <c r="AH49" i="125"/>
  <c r="AH50" i="125"/>
  <c r="AH52" i="125"/>
  <c r="AH53" i="125"/>
  <c r="AH54" i="125"/>
  <c r="AH55" i="125"/>
  <c r="AH56" i="125"/>
  <c r="AH57" i="125"/>
  <c r="AH58" i="125"/>
  <c r="AH59" i="125"/>
  <c r="AH60" i="125"/>
  <c r="AH70" i="125"/>
  <c r="AH71" i="125"/>
  <c r="AH72" i="125"/>
  <c r="AH73" i="125"/>
  <c r="AH74" i="125"/>
  <c r="AH76" i="125"/>
  <c r="AH78" i="125"/>
  <c r="AG10" i="125"/>
  <c r="AG12" i="125"/>
  <c r="AG13" i="125"/>
  <c r="AG14" i="125"/>
  <c r="AG15" i="125"/>
  <c r="AG20" i="125"/>
  <c r="AG21" i="125"/>
  <c r="AG22" i="125"/>
  <c r="AG23" i="125"/>
  <c r="AG24" i="125"/>
  <c r="AG25" i="125"/>
  <c r="AG26" i="125"/>
  <c r="AG27" i="125"/>
  <c r="AG35" i="125"/>
  <c r="AG37" i="125"/>
  <c r="AG38" i="125"/>
  <c r="AG39" i="125"/>
  <c r="AG40" i="125"/>
  <c r="AG41" i="125"/>
  <c r="AG42" i="125"/>
  <c r="AG43" i="125"/>
  <c r="AG44" i="125"/>
  <c r="AG47" i="125"/>
  <c r="AG49" i="125"/>
  <c r="AG50" i="125"/>
  <c r="AG52" i="125"/>
  <c r="AG53" i="125"/>
  <c r="AG54" i="125"/>
  <c r="AG55" i="125"/>
  <c r="AG56" i="125"/>
  <c r="AG57" i="125"/>
  <c r="AG58" i="125"/>
  <c r="AG59" i="125"/>
  <c r="AG60" i="125"/>
  <c r="AG70" i="125"/>
  <c r="AG71" i="125"/>
  <c r="AG72" i="125"/>
  <c r="AG73" i="125"/>
  <c r="AG74" i="125"/>
  <c r="AG76" i="125"/>
  <c r="AG77" i="125"/>
  <c r="AG78" i="125"/>
  <c r="AF11" i="125"/>
  <c r="AF47" i="125"/>
  <c r="W27" i="125" l="1"/>
  <c r="AE27" i="125" s="1"/>
  <c r="AF27" i="125" s="1"/>
  <c r="W26" i="125"/>
  <c r="AE26" i="125" s="1"/>
  <c r="AF26" i="125" s="1"/>
  <c r="W24" i="125"/>
  <c r="AE24" i="125" s="1"/>
  <c r="AF24" i="125" s="1"/>
  <c r="W23" i="125"/>
  <c r="AE23" i="125" s="1"/>
  <c r="AF23" i="125" s="1"/>
  <c r="W20" i="125"/>
  <c r="AE20" i="125" s="1"/>
  <c r="AF20" i="125" s="1"/>
  <c r="W21" i="125"/>
  <c r="AE21" i="125" s="1"/>
  <c r="AF21" i="125" s="1"/>
  <c r="W22" i="125"/>
  <c r="AE22" i="125" s="1"/>
  <c r="AF22" i="125" s="1"/>
  <c r="W25" i="125"/>
  <c r="AE25" i="125" s="1"/>
  <c r="AF25" i="125" s="1"/>
  <c r="W4" i="125" l="1"/>
  <c r="W90" i="125" l="1"/>
  <c r="AH46" i="125"/>
  <c r="AG46" i="125"/>
  <c r="V36" i="125"/>
  <c r="V6" i="125" s="1"/>
  <c r="K5" i="125" l="1"/>
  <c r="L36" i="125" l="1"/>
  <c r="L6" i="125" s="1"/>
  <c r="M36" i="125"/>
  <c r="M6" i="125" s="1"/>
  <c r="N36" i="125"/>
  <c r="N6" i="125" s="1"/>
  <c r="O36" i="125"/>
  <c r="P36" i="125"/>
  <c r="P6" i="125" s="1"/>
  <c r="Q36" i="125"/>
  <c r="Q6" i="125" s="1"/>
  <c r="R36" i="125"/>
  <c r="R6" i="125" s="1"/>
  <c r="S36" i="125"/>
  <c r="T36" i="125"/>
  <c r="T6" i="125" s="1"/>
  <c r="U36" i="125"/>
  <c r="U6" i="125" s="1"/>
  <c r="K36" i="125"/>
  <c r="S6" i="125" l="1"/>
  <c r="AI36" i="125"/>
  <c r="O6" i="125"/>
  <c r="AH36" i="125"/>
  <c r="K6" i="125"/>
  <c r="AG36" i="125"/>
  <c r="W74" i="125"/>
  <c r="W73" i="125"/>
  <c r="W72" i="125"/>
  <c r="W71" i="125"/>
  <c r="AI48" i="125"/>
  <c r="AH48" i="125"/>
  <c r="W47" i="125"/>
  <c r="W41" i="125"/>
  <c r="AE41" i="125" s="1"/>
  <c r="AF41" i="125" s="1"/>
  <c r="W60" i="125"/>
  <c r="AE60" i="125" s="1"/>
  <c r="AF60" i="125" s="1"/>
  <c r="AG79" i="125"/>
  <c r="K87" i="125"/>
  <c r="R85" i="125"/>
  <c r="W126" i="125"/>
  <c r="AE126" i="125" s="1"/>
  <c r="AF126" i="125" s="1"/>
  <c r="W96" i="125"/>
  <c r="AE96" i="125" s="1"/>
  <c r="AF96" i="125" s="1"/>
  <c r="V85" i="125" l="1"/>
  <c r="Q85" i="125"/>
  <c r="O85" i="125"/>
  <c r="P85" i="125"/>
  <c r="M85" i="125"/>
  <c r="T85" i="125"/>
  <c r="S85" i="125"/>
  <c r="AG11" i="125"/>
  <c r="N85" i="125"/>
  <c r="U85" i="125"/>
  <c r="AG48" i="125"/>
  <c r="W48" i="125"/>
  <c r="AE48" i="125" s="1"/>
  <c r="AF48" i="125" s="1"/>
  <c r="AI101" i="125"/>
  <c r="AH77" i="125"/>
  <c r="AI79" i="125"/>
  <c r="AH93" i="125"/>
  <c r="AG101" i="125"/>
  <c r="AH11" i="125"/>
  <c r="AI122" i="125"/>
  <c r="AH101" i="125"/>
  <c r="AG122" i="125"/>
  <c r="AH79" i="125"/>
  <c r="AI93" i="125"/>
  <c r="AI11" i="125"/>
  <c r="AG93" i="125"/>
  <c r="AH122" i="125"/>
  <c r="AI77" i="125"/>
  <c r="AE71" i="125"/>
  <c r="AF71" i="125" s="1"/>
  <c r="AE73" i="125"/>
  <c r="AF73" i="125" s="1"/>
  <c r="AE74" i="125"/>
  <c r="AF74" i="125" s="1"/>
  <c r="AE72" i="125"/>
  <c r="AF72" i="125" s="1"/>
  <c r="AE76" i="125"/>
  <c r="AF76" i="125" s="1"/>
  <c r="W114" i="125"/>
  <c r="AE114" i="125" s="1"/>
  <c r="AF114" i="125" s="1"/>
  <c r="AE77" i="125"/>
  <c r="AF77" i="125" s="1"/>
  <c r="W112" i="125" l="1"/>
  <c r="AE112" i="125" s="1"/>
  <c r="AF112" i="125" s="1"/>
  <c r="W94" i="125"/>
  <c r="AE94" i="125" s="1"/>
  <c r="AF94" i="125" s="1"/>
  <c r="W70" i="125"/>
  <c r="AE70" i="125" s="1"/>
  <c r="AF70" i="125" s="1"/>
  <c r="W109" i="125"/>
  <c r="W124" i="125" l="1"/>
  <c r="AE124" i="125" s="1"/>
  <c r="AF124" i="125" s="1"/>
  <c r="W110" i="125"/>
  <c r="AE110" i="125" s="1"/>
  <c r="AF110" i="125" s="1"/>
  <c r="W95" i="125"/>
  <c r="AE95" i="125" s="1"/>
  <c r="AF95" i="125" s="1"/>
  <c r="J18" i="135" l="1"/>
  <c r="J17" i="135"/>
  <c r="J16" i="135"/>
  <c r="E18" i="135"/>
  <c r="E17" i="135"/>
  <c r="E16" i="135"/>
  <c r="C20" i="135"/>
  <c r="C19" i="135"/>
  <c r="C18" i="135"/>
  <c r="C17" i="135"/>
  <c r="B20" i="135"/>
  <c r="B19" i="135"/>
  <c r="B18" i="135"/>
  <c r="N6" i="135"/>
  <c r="J6" i="135"/>
  <c r="R13" i="135"/>
  <c r="R12" i="135"/>
  <c r="R11" i="135"/>
  <c r="R10" i="135"/>
  <c r="R9" i="135"/>
  <c r="R8" i="135"/>
  <c r="R7" i="135"/>
  <c r="R6" i="135"/>
  <c r="N13" i="135"/>
  <c r="N12" i="135"/>
  <c r="N11" i="135"/>
  <c r="N10" i="135"/>
  <c r="N9" i="135"/>
  <c r="N8" i="135"/>
  <c r="N7" i="135"/>
  <c r="J13" i="135"/>
  <c r="J12" i="135"/>
  <c r="J11" i="135"/>
  <c r="J10" i="135"/>
  <c r="J9" i="135"/>
  <c r="J8" i="135"/>
  <c r="J7" i="135"/>
  <c r="S6" i="135" l="1"/>
  <c r="W145" i="125"/>
  <c r="W148" i="125"/>
  <c r="AE150" i="125"/>
  <c r="AF150" i="125" s="1"/>
  <c r="AE148" i="125" l="1"/>
  <c r="AF148" i="125" s="1"/>
  <c r="W129" i="125"/>
  <c r="AF35" i="125"/>
  <c r="W39" i="125" l="1"/>
  <c r="AE39" i="125" s="1"/>
  <c r="AF39" i="125" s="1"/>
  <c r="W38" i="125"/>
  <c r="AE38" i="125" s="1"/>
  <c r="AF38" i="125" s="1"/>
  <c r="D5" i="83" l="1"/>
  <c r="C5" i="83"/>
  <c r="A23" i="126" l="1"/>
  <c r="A22" i="126"/>
  <c r="A21" i="126"/>
  <c r="A20" i="126"/>
  <c r="A19" i="126"/>
  <c r="A10" i="126"/>
  <c r="A9" i="126"/>
  <c r="F20" i="91"/>
  <c r="E20" i="91"/>
  <c r="E10" i="126" s="1"/>
  <c r="D19" i="91"/>
  <c r="AH13" i="91"/>
  <c r="AI13" i="91" s="1"/>
  <c r="AE10" i="91"/>
  <c r="AB10" i="91"/>
  <c r="AC10" i="91" s="1"/>
  <c r="AD11" i="91" s="1"/>
  <c r="AD10" i="91" s="1"/>
  <c r="AH10" i="91" l="1"/>
  <c r="AD12" i="91"/>
  <c r="AD13" i="91" l="1"/>
  <c r="AE12" i="91"/>
  <c r="W43" i="125"/>
  <c r="AE43" i="125" s="1"/>
  <c r="AF43" i="125" s="1"/>
  <c r="AI88" i="125"/>
  <c r="AH88" i="125"/>
  <c r="AG88" i="125"/>
  <c r="W91" i="125"/>
  <c r="AE91" i="125" s="1"/>
  <c r="AF91" i="125" s="1"/>
  <c r="AI89" i="125"/>
  <c r="AH89" i="125"/>
  <c r="AG89" i="125"/>
  <c r="W89" i="125"/>
  <c r="AE89" i="125" s="1"/>
  <c r="AF89" i="125" s="1"/>
  <c r="AI99" i="125"/>
  <c r="AH99" i="125"/>
  <c r="AG99" i="125"/>
  <c r="AI117" i="125"/>
  <c r="AH117" i="125"/>
  <c r="AG117" i="125"/>
  <c r="AE13" i="91" l="1"/>
  <c r="AF12" i="91"/>
  <c r="AF13" i="91" l="1"/>
  <c r="AG12" i="91"/>
  <c r="AG13" i="91" s="1"/>
  <c r="W120" i="125"/>
  <c r="AE120" i="125" s="1"/>
  <c r="AF120" i="125" s="1"/>
  <c r="K12" i="89" l="1"/>
  <c r="K11" i="89"/>
  <c r="K10" i="89"/>
  <c r="K9" i="89"/>
  <c r="K8" i="89"/>
  <c r="A20" i="91" s="1"/>
  <c r="K7" i="89"/>
  <c r="K6" i="89"/>
  <c r="A19" i="91" s="1"/>
  <c r="L85" i="125" l="1"/>
  <c r="K85" i="125" l="1"/>
  <c r="W104" i="125"/>
  <c r="AE104" i="125" s="1"/>
  <c r="AF104" i="125" s="1"/>
  <c r="Y103" i="125"/>
  <c r="W103" i="125"/>
  <c r="AE103" i="125" l="1"/>
  <c r="AF103" i="125" s="1"/>
  <c r="W93" i="125"/>
  <c r="AE93" i="125" s="1"/>
  <c r="AF93" i="125" s="1"/>
  <c r="R84" i="125" l="1"/>
  <c r="T84" i="125"/>
  <c r="L84" i="125"/>
  <c r="M84" i="125"/>
  <c r="O84" i="125"/>
  <c r="K84" i="125"/>
  <c r="N84" i="125"/>
  <c r="V84" i="125"/>
  <c r="W138" i="125" l="1"/>
  <c r="AE138" i="125" s="1"/>
  <c r="AF138" i="125" s="1"/>
  <c r="W137" i="125"/>
  <c r="AE137" i="125" s="1"/>
  <c r="AF137" i="125" s="1"/>
  <c r="W136" i="125"/>
  <c r="AE136" i="125" s="1"/>
  <c r="AF136" i="125" s="1"/>
  <c r="W135" i="125"/>
  <c r="AE135" i="125" s="1"/>
  <c r="AF135" i="125" s="1"/>
  <c r="W139" i="125"/>
  <c r="AE139" i="125" s="1"/>
  <c r="AF139" i="125" s="1"/>
  <c r="W134" i="125"/>
  <c r="AE134" i="125" s="1"/>
  <c r="AF134" i="125" s="1"/>
  <c r="W133" i="125"/>
  <c r="AE133" i="125" s="1"/>
  <c r="AF133" i="125" s="1"/>
  <c r="W132" i="125"/>
  <c r="AE132" i="125" s="1"/>
  <c r="AF132" i="125" s="1"/>
  <c r="W131" i="125"/>
  <c r="W140" i="125" l="1"/>
  <c r="AE140" i="125" s="1"/>
  <c r="AF140" i="125" s="1"/>
  <c r="W128" i="125" l="1"/>
  <c r="AG127" i="125" l="1"/>
  <c r="L12" i="122" s="1"/>
  <c r="U84" i="125"/>
  <c r="Q84" i="125"/>
  <c r="G23" i="126" l="1"/>
  <c r="AH127" i="125"/>
  <c r="N12" i="122" s="1"/>
  <c r="S84" i="125"/>
  <c r="AI127" i="125"/>
  <c r="P12" i="122" s="1"/>
  <c r="P84" i="125" l="1"/>
  <c r="J23" i="126"/>
  <c r="M23" i="126"/>
  <c r="R12" i="122"/>
  <c r="M12" i="89" l="1"/>
  <c r="O12" i="89" l="1"/>
  <c r="W52" i="125"/>
  <c r="AE52" i="125" s="1"/>
  <c r="AF52" i="125" s="1"/>
  <c r="W59" i="125"/>
  <c r="AE59" i="125" s="1"/>
  <c r="AF59" i="125" s="1"/>
  <c r="W54" i="125"/>
  <c r="AE54" i="125" s="1"/>
  <c r="AF54" i="125" s="1"/>
  <c r="W56" i="125"/>
  <c r="AE56" i="125" s="1"/>
  <c r="AF56" i="125" s="1"/>
  <c r="W55" i="125"/>
  <c r="AE55" i="125" s="1"/>
  <c r="AF55" i="125" s="1"/>
  <c r="W58" i="125"/>
  <c r="AE58" i="125" s="1"/>
  <c r="AF58" i="125" s="1"/>
  <c r="W57" i="125"/>
  <c r="AE57" i="125" s="1"/>
  <c r="AF57" i="125" s="1"/>
  <c r="W50" i="125"/>
  <c r="AE50" i="125" s="1"/>
  <c r="AF50" i="125" s="1"/>
  <c r="W53" i="125"/>
  <c r="AE53" i="125" s="1"/>
  <c r="AF53" i="125" s="1"/>
  <c r="W49" i="125"/>
  <c r="AE49" i="125" s="1"/>
  <c r="AF49" i="125" s="1"/>
  <c r="Q12" i="89" l="1"/>
  <c r="S12" i="89" l="1"/>
  <c r="U12" i="89" l="1"/>
  <c r="AI115" i="125" l="1"/>
  <c r="P11" i="122" s="1"/>
  <c r="M22" i="126" s="1"/>
  <c r="AH115" i="125"/>
  <c r="N11" i="122" s="1"/>
  <c r="J22" i="126" s="1"/>
  <c r="AG115" i="125"/>
  <c r="L11" i="122" s="1"/>
  <c r="AI97" i="125"/>
  <c r="P10" i="122" s="1"/>
  <c r="M21" i="126" s="1"/>
  <c r="AH97" i="125"/>
  <c r="N10" i="122" s="1"/>
  <c r="J21" i="126" s="1"/>
  <c r="AG97" i="125"/>
  <c r="L10" i="122" s="1"/>
  <c r="AI86" i="125"/>
  <c r="P9" i="122" s="1"/>
  <c r="AH86" i="125"/>
  <c r="N9" i="122" s="1"/>
  <c r="AG86" i="125"/>
  <c r="L9" i="122" s="1"/>
  <c r="J20" i="126" l="1"/>
  <c r="N8" i="122"/>
  <c r="J10" i="126" s="1"/>
  <c r="K10" i="126" s="1"/>
  <c r="G22" i="126"/>
  <c r="R11" i="122"/>
  <c r="M11" i="89" s="1"/>
  <c r="O11" i="89" s="1"/>
  <c r="Q11" i="89" s="1"/>
  <c r="S11" i="89" s="1"/>
  <c r="U11" i="89" s="1"/>
  <c r="G20" i="126"/>
  <c r="R9" i="122"/>
  <c r="M9" i="89" s="1"/>
  <c r="L8" i="122"/>
  <c r="G10" i="126" s="1"/>
  <c r="H10" i="126" s="1"/>
  <c r="M20" i="126"/>
  <c r="P8" i="122"/>
  <c r="M10" i="126" s="1"/>
  <c r="N10" i="126" s="1"/>
  <c r="G21" i="126"/>
  <c r="R10" i="122"/>
  <c r="M10" i="89" s="1"/>
  <c r="O10" i="89" s="1"/>
  <c r="Q10" i="89" s="1"/>
  <c r="S10" i="89" s="1"/>
  <c r="U10" i="89" s="1"/>
  <c r="W85" i="125" l="1"/>
  <c r="Q10" i="126"/>
  <c r="R8" i="122"/>
  <c r="O9" i="89" l="1"/>
  <c r="M8" i="89"/>
  <c r="G9" i="91" s="1"/>
  <c r="G20" i="91" l="1"/>
  <c r="H20" i="91" s="1"/>
  <c r="H9" i="91"/>
  <c r="Q9" i="89"/>
  <c r="O8" i="89"/>
  <c r="J9" i="91" s="1"/>
  <c r="J20" i="91" s="1"/>
  <c r="AI130" i="125"/>
  <c r="AH130" i="125"/>
  <c r="AG130" i="125"/>
  <c r="AI118" i="125"/>
  <c r="AH118" i="125"/>
  <c r="AG118" i="125"/>
  <c r="AI100" i="125"/>
  <c r="AH100" i="125"/>
  <c r="AG100" i="125"/>
  <c r="AH98" i="125" l="1"/>
  <c r="O10" i="122" s="1"/>
  <c r="AG116" i="125"/>
  <c r="M11" i="122" s="1"/>
  <c r="AI116" i="125"/>
  <c r="Q11" i="122" s="1"/>
  <c r="AG98" i="125"/>
  <c r="M10" i="122" s="1"/>
  <c r="AI98" i="125"/>
  <c r="Q10" i="122" s="1"/>
  <c r="AH116" i="125"/>
  <c r="O11" i="122" s="1"/>
  <c r="S9" i="89"/>
  <c r="Q8" i="89"/>
  <c r="M9" i="91" s="1"/>
  <c r="M20" i="91" s="1"/>
  <c r="AH128" i="125"/>
  <c r="O12" i="122" s="1"/>
  <c r="AG128" i="125"/>
  <c r="M12" i="122" s="1"/>
  <c r="AI128" i="125"/>
  <c r="Q12" i="122" s="1"/>
  <c r="S11" i="122" l="1"/>
  <c r="N11" i="89" s="1"/>
  <c r="P11" i="89" s="1"/>
  <c r="R11" i="89" s="1"/>
  <c r="T11" i="89" s="1"/>
  <c r="V11" i="89" s="1"/>
  <c r="AG87" i="125"/>
  <c r="M9" i="122" s="1"/>
  <c r="AI87" i="125"/>
  <c r="Q9" i="122" s="1"/>
  <c r="AH87" i="125"/>
  <c r="O9" i="122" s="1"/>
  <c r="U9" i="89"/>
  <c r="U8" i="89" s="1"/>
  <c r="S9" i="91" s="1"/>
  <c r="S20" i="91" s="1"/>
  <c r="S8" i="89"/>
  <c r="P9" i="91" s="1"/>
  <c r="P20" i="91" s="1"/>
  <c r="W122" i="125"/>
  <c r="AE122" i="125" s="1"/>
  <c r="AF122" i="125" s="1"/>
  <c r="W121" i="125"/>
  <c r="W118" i="125"/>
  <c r="W115" i="125"/>
  <c r="W40" i="125"/>
  <c r="AE40" i="125" s="1"/>
  <c r="AF40" i="125" s="1"/>
  <c r="W37" i="125"/>
  <c r="AF37" i="125" s="1"/>
  <c r="W36" i="125"/>
  <c r="AF36" i="125" s="1"/>
  <c r="AE118" i="125" l="1"/>
  <c r="AF118" i="125" s="1"/>
  <c r="W116" i="125"/>
  <c r="Y46" i="125" l="1"/>
  <c r="W46" i="125" l="1"/>
  <c r="AE46" i="125" s="1"/>
  <c r="AF46" i="125" s="1"/>
  <c r="W44" i="125"/>
  <c r="AE44" i="125" s="1"/>
  <c r="AF44" i="125" s="1"/>
  <c r="W42" i="125"/>
  <c r="AE42" i="125" s="1"/>
  <c r="AF42" i="125" s="1"/>
  <c r="W14" i="125" l="1"/>
  <c r="L5" i="125" l="1"/>
  <c r="N5" i="125"/>
  <c r="P5" i="125"/>
  <c r="R5" i="125"/>
  <c r="T5" i="125"/>
  <c r="M5" i="125"/>
  <c r="O5" i="125"/>
  <c r="Q5" i="125"/>
  <c r="S5" i="125"/>
  <c r="U5" i="125"/>
  <c r="W15" i="125"/>
  <c r="AE15" i="125" s="1"/>
  <c r="AF15" i="125" s="1"/>
  <c r="AI8" i="125" l="1"/>
  <c r="AH8" i="125"/>
  <c r="AG8" i="125"/>
  <c r="AG6" i="125" s="1"/>
  <c r="L7" i="122" s="1"/>
  <c r="G19" i="126" s="1"/>
  <c r="H19" i="126" s="1"/>
  <c r="AI9" i="125"/>
  <c r="AH9" i="125"/>
  <c r="AG9" i="125"/>
  <c r="AG7" i="125" s="1"/>
  <c r="AH7" i="125" l="1"/>
  <c r="O7" i="122" s="1"/>
  <c r="AH6" i="125"/>
  <c r="N7" i="122" s="1"/>
  <c r="N6" i="122" s="1"/>
  <c r="J9" i="126" s="1"/>
  <c r="K9" i="126" s="1"/>
  <c r="AI6" i="125"/>
  <c r="P7" i="122" s="1"/>
  <c r="P6" i="122" s="1"/>
  <c r="M9" i="126" s="1"/>
  <c r="N9" i="126" s="1"/>
  <c r="L6" i="122"/>
  <c r="G9" i="126" s="1"/>
  <c r="H9" i="126" s="1"/>
  <c r="M7" i="122"/>
  <c r="J19" i="126" l="1"/>
  <c r="K19" i="126" s="1"/>
  <c r="R7" i="122"/>
  <c r="R6" i="122" s="1"/>
  <c r="M19" i="126"/>
  <c r="N19" i="126" s="1"/>
  <c r="Q9" i="126"/>
  <c r="AG153" i="125"/>
  <c r="AH153" i="125"/>
  <c r="M7" i="89" l="1"/>
  <c r="M6" i="89" s="1"/>
  <c r="G19" i="91" s="1"/>
  <c r="H19" i="91" s="1"/>
  <c r="Q19" i="126"/>
  <c r="S7" i="135"/>
  <c r="S11" i="135"/>
  <c r="S8" i="135"/>
  <c r="T8" i="135" s="1"/>
  <c r="S12" i="135"/>
  <c r="S9" i="135"/>
  <c r="T9" i="135" s="1"/>
  <c r="S13" i="135"/>
  <c r="U13" i="135" s="1"/>
  <c r="S10" i="135"/>
  <c r="T10" i="135" s="1"/>
  <c r="U11" i="135" l="1"/>
  <c r="U12" i="135"/>
  <c r="U7" i="135"/>
  <c r="O7" i="89"/>
  <c r="O6" i="89" s="1"/>
  <c r="J19" i="91" s="1"/>
  <c r="U9" i="135"/>
  <c r="U8" i="135"/>
  <c r="T11" i="135"/>
  <c r="T7" i="135"/>
  <c r="T13" i="135"/>
  <c r="T12" i="135"/>
  <c r="U10" i="135"/>
  <c r="B16" i="135" l="1"/>
  <c r="B17" i="135"/>
  <c r="C16" i="135"/>
  <c r="Q7" i="89"/>
  <c r="S7" i="89" s="1"/>
  <c r="P23" i="126"/>
  <c r="P22" i="126"/>
  <c r="P21" i="126"/>
  <c r="P20" i="126"/>
  <c r="P19" i="126"/>
  <c r="P10" i="126"/>
  <c r="P9" i="126"/>
  <c r="W13" i="125"/>
  <c r="AE13" i="125" s="1"/>
  <c r="AF13" i="125" s="1"/>
  <c r="W12" i="125"/>
  <c r="W10" i="125"/>
  <c r="W9" i="125"/>
  <c r="AE9" i="125" s="1"/>
  <c r="W8" i="125"/>
  <c r="W6" i="125"/>
  <c r="W130" i="125"/>
  <c r="W101" i="125"/>
  <c r="AE101" i="125" s="1"/>
  <c r="AF101" i="125" s="1"/>
  <c r="W100" i="125"/>
  <c r="W99" i="125"/>
  <c r="W97" i="125"/>
  <c r="W88" i="125"/>
  <c r="W86" i="125"/>
  <c r="W84" i="125"/>
  <c r="W92" i="125"/>
  <c r="AE92" i="125" s="1"/>
  <c r="AF92" i="125" s="1"/>
  <c r="S10" i="122"/>
  <c r="N10" i="89" s="1"/>
  <c r="P10" i="89" s="1"/>
  <c r="R10" i="89" s="1"/>
  <c r="T10" i="89" s="1"/>
  <c r="V10" i="89" s="1"/>
  <c r="S12" i="122"/>
  <c r="N12" i="89" s="1"/>
  <c r="P12" i="89" s="1"/>
  <c r="R12" i="89" s="1"/>
  <c r="T12" i="89" s="1"/>
  <c r="V12" i="89" s="1"/>
  <c r="S9" i="122"/>
  <c r="N9" i="89" s="1"/>
  <c r="P9" i="89" s="1"/>
  <c r="Q6" i="89" l="1"/>
  <c r="M19" i="91" s="1"/>
  <c r="S21" i="126"/>
  <c r="T21" i="126" s="1"/>
  <c r="E21" i="126" s="1"/>
  <c r="S6" i="89"/>
  <c r="P19" i="91" s="1"/>
  <c r="U7" i="89"/>
  <c r="U6" i="89" s="1"/>
  <c r="S19" i="91" s="1"/>
  <c r="R9" i="89"/>
  <c r="P8" i="89"/>
  <c r="AE130" i="125"/>
  <c r="AF130" i="125" s="1"/>
  <c r="AE100" i="125"/>
  <c r="AF100" i="125" s="1"/>
  <c r="AF9" i="125"/>
  <c r="W98" i="125"/>
  <c r="W87" i="125"/>
  <c r="S8" i="122"/>
  <c r="T22" i="126" l="1"/>
  <c r="E22" i="126" s="1"/>
  <c r="H22" i="126" s="1"/>
  <c r="K21" i="126"/>
  <c r="H21" i="126"/>
  <c r="N21" i="126"/>
  <c r="T20" i="126"/>
  <c r="E20" i="126" s="1"/>
  <c r="T9" i="89"/>
  <c r="V9" i="89" s="1"/>
  <c r="R8" i="89"/>
  <c r="K22" i="126" l="1"/>
  <c r="N22" i="126"/>
  <c r="N20" i="126"/>
  <c r="H20" i="126"/>
  <c r="K20" i="126"/>
  <c r="Q21" i="126"/>
  <c r="Q8" i="122"/>
  <c r="O8" i="122"/>
  <c r="M8" i="122"/>
  <c r="O6" i="122"/>
  <c r="M6" i="122"/>
  <c r="N8" i="89"/>
  <c r="Q22" i="126" l="1"/>
  <c r="Q20" i="126"/>
  <c r="O13" i="122"/>
  <c r="M13" i="122"/>
  <c r="V8" i="89"/>
  <c r="T8" i="89"/>
  <c r="V5" i="125"/>
  <c r="W5" i="125" s="1"/>
  <c r="W153" i="125" s="1"/>
  <c r="W31" i="125"/>
  <c r="AE31" i="125" s="1"/>
  <c r="AF31" i="125" s="1"/>
  <c r="AI31" i="125"/>
  <c r="AI7" i="125"/>
  <c r="AI153" i="125" s="1"/>
  <c r="Q7" i="122" l="1"/>
  <c r="W7" i="125"/>
  <c r="S7" i="122" l="1"/>
  <c r="Q6" i="122"/>
  <c r="Q13" i="122" s="1"/>
  <c r="S6" i="122" l="1"/>
  <c r="S13" i="122" s="1"/>
  <c r="N7" i="89"/>
  <c r="P7" i="89" l="1"/>
  <c r="N6" i="89"/>
  <c r="N13" i="89" s="1"/>
  <c r="P6" i="89" l="1"/>
  <c r="P13" i="89" s="1"/>
  <c r="R7" i="89"/>
  <c r="R6" i="89" l="1"/>
  <c r="R13" i="89" s="1"/>
  <c r="T7" i="89"/>
  <c r="T6" i="89" l="1"/>
  <c r="T13" i="89" s="1"/>
  <c r="V7" i="89"/>
  <c r="V6" i="89" s="1"/>
  <c r="V13" i="89" s="1"/>
</calcChain>
</file>

<file path=xl/sharedStrings.xml><?xml version="1.0" encoding="utf-8"?>
<sst xmlns="http://schemas.openxmlformats.org/spreadsheetml/2006/main" count="1774" uniqueCount="1050">
  <si>
    <t>Medio</t>
  </si>
  <si>
    <t>Bajo</t>
  </si>
  <si>
    <t>PROGRAMA</t>
  </si>
  <si>
    <t>PROYECTO</t>
  </si>
  <si>
    <t>ACTIVIDAD</t>
  </si>
  <si>
    <t>OBRA</t>
  </si>
  <si>
    <t>FÓRMULA DE CÁLCULO</t>
  </si>
  <si>
    <t>Listar los subproductos (bienes o servicios generados por la institución que contribuyen de manera directa o indirecta al cumplimiento de la meta</t>
  </si>
  <si>
    <t xml:space="preserve">Listar los indicadores que corresponden a los productos identificados 
</t>
  </si>
  <si>
    <t>Listar los indicadores que corresponden a los subproductos identificados</t>
  </si>
  <si>
    <t>SUBPROGRAMA</t>
  </si>
  <si>
    <t>NOMBRE DEL INDICADOR</t>
  </si>
  <si>
    <t>Alto</t>
  </si>
  <si>
    <t>PRODUCTOS</t>
  </si>
  <si>
    <t>UNIDAD DE MEDIDA</t>
  </si>
  <si>
    <t>SUBPRODUCTOS</t>
  </si>
  <si>
    <t>INDICADORES</t>
  </si>
  <si>
    <t>NOMBRE DE LA INSTITUCIÓN:</t>
  </si>
  <si>
    <t>AÑO</t>
  </si>
  <si>
    <t>Procedencia de los datos</t>
  </si>
  <si>
    <t>Descripción del Indicador</t>
  </si>
  <si>
    <t>No.</t>
  </si>
  <si>
    <t>Nacional</t>
  </si>
  <si>
    <t>Anual</t>
  </si>
  <si>
    <t>Nombre del Indicador</t>
  </si>
  <si>
    <t>Política Pública Asociada</t>
  </si>
  <si>
    <t>Interpretación</t>
  </si>
  <si>
    <t>Fórmula de Cálculo</t>
  </si>
  <si>
    <t>Ámbito Geográfico</t>
  </si>
  <si>
    <t>Frecuencia de la medición</t>
  </si>
  <si>
    <t>Tendencia del Indicador</t>
  </si>
  <si>
    <t>Producción asociada al cumplimiento de la meta</t>
  </si>
  <si>
    <t>Categoría del Indicador</t>
  </si>
  <si>
    <t>Departamento</t>
  </si>
  <si>
    <t>Regional</t>
  </si>
  <si>
    <t>Cuatrimestral</t>
  </si>
  <si>
    <t>Semestral</t>
  </si>
  <si>
    <t>Años</t>
  </si>
  <si>
    <t>Unidad Responsable</t>
  </si>
  <si>
    <t>Metodología de Recopilación</t>
  </si>
  <si>
    <t>Medios de Verificación</t>
  </si>
  <si>
    <t>Listar los productos (bienes o servicios generados por la institución que contribuyen de manera directa o indirecta al cumplimiento de la meta</t>
  </si>
  <si>
    <t>Mensual</t>
  </si>
  <si>
    <t>CODIGO SNIP</t>
  </si>
  <si>
    <t>Plan Estratégico Institucional (PEI)</t>
  </si>
  <si>
    <t>Plan Operativo Anual (POA)</t>
  </si>
  <si>
    <t>Plan Operativo Multianual (POM)</t>
  </si>
  <si>
    <t xml:space="preserve"> VISIÓN, MISIÓN, VALORES</t>
  </si>
  <si>
    <t>Valores (principios)</t>
  </si>
  <si>
    <t xml:space="preserve"> FICHA DEL INDICADOR (SEGUIMIENTO)</t>
  </si>
  <si>
    <t>DE RESULTADO INSTITUCIONAL</t>
  </si>
  <si>
    <t>Está parte se  podrá llenar cuando se trabaje el POM</t>
  </si>
  <si>
    <t>Año</t>
  </si>
  <si>
    <t>Municipio**</t>
  </si>
  <si>
    <t>LINEA DE BASE</t>
  </si>
  <si>
    <t>INTRODUCCIÓN</t>
  </si>
  <si>
    <t>Objetivo:</t>
  </si>
  <si>
    <t>Nota:</t>
  </si>
  <si>
    <t>PLAN OPERATIVO MULTIANUAL</t>
  </si>
  <si>
    <t>IMAGEN EXTERNA</t>
  </si>
  <si>
    <t>La solución del problema contribuye significativamente a la transformación de la situación que afecta a la población atendida por la institución.</t>
  </si>
  <si>
    <t>Apoyo</t>
  </si>
  <si>
    <t xml:space="preserve">No. </t>
  </si>
  <si>
    <t>PREGUNTAS GENERADORAS</t>
  </si>
  <si>
    <t>Describir brevemente como aplican los valores enunciados</t>
  </si>
  <si>
    <t>POSICIONAMIENTO FUTURO /TEMPORALIDAD</t>
  </si>
  <si>
    <t>RESULTADO INSTITUCIONAL</t>
  </si>
  <si>
    <t>Meta en datos absolutos</t>
  </si>
  <si>
    <t>Valor  del indicador (en datos absolutos y relativos )</t>
  </si>
  <si>
    <t>META POR AÑO</t>
  </si>
  <si>
    <t>Meta física</t>
  </si>
  <si>
    <t>SEGUIMIENTO A NIVEL MULTIANUAL DEL RESULTADO</t>
  </si>
  <si>
    <t>INDICADORES DE RESULTADO</t>
  </si>
  <si>
    <t xml:space="preserve">FÓRMULA DEL INDICADOR
(descripción) </t>
  </si>
  <si>
    <t>INDICADORES DE PRODUCTO</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</si>
  <si>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</si>
  <si>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</si>
  <si>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</si>
  <si>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</si>
  <si>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</si>
  <si>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</si>
  <si>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</si>
  <si>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</si>
  <si>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</si>
  <si>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</si>
  <si>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</si>
  <si>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</si>
  <si>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(1)</t>
  </si>
  <si>
    <t>(2)</t>
  </si>
  <si>
    <t>(3)</t>
  </si>
  <si>
    <t>Hombres</t>
  </si>
  <si>
    <t>Mujeres</t>
  </si>
  <si>
    <t>Ubicación de la población elegible</t>
  </si>
  <si>
    <t>LINEA DE BASE *</t>
  </si>
  <si>
    <t xml:space="preserve">TOTAL </t>
  </si>
  <si>
    <t>BENEFICIO QUE RECIBE LA POBLACIÓN 
( al cumplir el mandato la institución)</t>
  </si>
  <si>
    <t>Análisis Fortalezas, Oportunidades, Debilidades y Amenazas</t>
  </si>
  <si>
    <t>Anexos</t>
  </si>
  <si>
    <t>Visión, misión, valores y principios</t>
  </si>
  <si>
    <t>CRITERIOS PARA LA PRIORIZACIÓN DE PROBLEMAS</t>
  </si>
  <si>
    <t xml:space="preserve">Relevancia </t>
  </si>
  <si>
    <t>Capacidad</t>
  </si>
  <si>
    <t>CALIFICACIÓN</t>
  </si>
  <si>
    <t>No</t>
  </si>
  <si>
    <t xml:space="preserve">Problemas identificados </t>
  </si>
  <si>
    <t>El problema  se vincula con su mandato institucional.</t>
  </si>
  <si>
    <t>El problema se contempla dentro de  las prioridades nacionales. Plan Nacional de Desarrollo, ODS  u otro instrumento estratégico equivalente de largo plazo o compromisos nacionales e internacionales suscritos por el Estado, en materia de derechos humanos.</t>
  </si>
  <si>
    <t>La magnitud e incidencia del problema es tal, que requiere la intervención urgente e inmediata de la institución.</t>
  </si>
  <si>
    <t>TOTAL RELEVANCIA</t>
  </si>
  <si>
    <t xml:space="preserve"> La atención del problema tendrá el apoyo de las autoridades y personal de la institución.</t>
  </si>
  <si>
    <t>La atención del problema contará con el apoyo de otros actores involucrados.</t>
  </si>
  <si>
    <t>TOTAL APOYO</t>
  </si>
  <si>
    <t>La institución tiene  capacidad para articular el esfuerzo de otros actores involucrados  en la solución de la problemática.</t>
  </si>
  <si>
    <t>TOTAL CAPACIDAD</t>
  </si>
  <si>
    <t>Problemas priorizados</t>
  </si>
  <si>
    <t xml:space="preserve">Posición </t>
  </si>
  <si>
    <t xml:space="preserve">RESUMEN </t>
  </si>
  <si>
    <t>RESUMEN</t>
  </si>
  <si>
    <t>Problema priorizado por orden de importancia</t>
  </si>
  <si>
    <t xml:space="preserve">Calificación </t>
  </si>
  <si>
    <t>SIMBOLOGÍA DE PRIORIZACIÓN DE PROBLEMAS</t>
  </si>
  <si>
    <t>Alta Prioridad</t>
  </si>
  <si>
    <t>Problemas con Resultados mayores a 6.50</t>
  </si>
  <si>
    <t>Mediana  Prioridad</t>
  </si>
  <si>
    <t>Problemas con resultados mayores a 4.00 y menores o iguales a 6.50</t>
  </si>
  <si>
    <t>Baja Prioridad</t>
  </si>
  <si>
    <t>Problemas con Resultados menores o iguales a 4.00</t>
  </si>
  <si>
    <t xml:space="preserve">Nombre del Documento </t>
  </si>
  <si>
    <t>Libros</t>
  </si>
  <si>
    <t>Autor y Año de Publicación</t>
  </si>
  <si>
    <t>Opinión de expertos</t>
  </si>
  <si>
    <t xml:space="preserve">Ubicación Geográfica </t>
  </si>
  <si>
    <t xml:space="preserve">Tipo de documento </t>
  </si>
  <si>
    <t>Otros. Especifique</t>
  </si>
  <si>
    <t>Municipal</t>
  </si>
  <si>
    <t>Departamental</t>
  </si>
  <si>
    <t>Internacional</t>
  </si>
  <si>
    <t xml:space="preserve">Aporte del documento a los factores causales </t>
  </si>
  <si>
    <r>
      <t>L</t>
    </r>
    <r>
      <rPr>
        <sz val="9"/>
        <color rgb="FF000000"/>
        <rFont val="Candara"/>
        <family val="2"/>
      </rPr>
      <t>a institución cuenta con los recursos financieros  para atender la solución del problema.</t>
    </r>
  </si>
  <si>
    <t xml:space="preserve">La institución cuenta con personal calificado, sistemas y herramientas  para atender  la solución del problema. </t>
  </si>
  <si>
    <t xml:space="preserve">Matriz de Planificación Estratégica Institucional </t>
  </si>
  <si>
    <t>Municipio</t>
  </si>
  <si>
    <t xml:space="preserve">Identificar las políticas directamente relacionadas  </t>
  </si>
  <si>
    <r>
      <rPr>
        <b/>
        <i/>
        <sz val="12"/>
        <color theme="0"/>
        <rFont val="Candara"/>
        <family val="2"/>
      </rPr>
      <t>Instrucciones</t>
    </r>
    <r>
      <rPr>
        <i/>
        <sz val="12"/>
        <color theme="0"/>
        <rFont val="Candara"/>
        <family val="2"/>
      </rPr>
      <t>:</t>
    </r>
    <r>
      <rPr>
        <sz val="12"/>
        <color theme="0"/>
        <rFont val="Candara"/>
        <family val="2"/>
      </rPr>
      <t xml:space="preserve"> </t>
    </r>
  </si>
  <si>
    <t xml:space="preserve">Nombre de la Política </t>
  </si>
  <si>
    <t xml:space="preserve">IDENTIFICACIÓN Y PRIORIZACIÓN DE LA PROBLEMÁTICA </t>
  </si>
  <si>
    <t>Xinca</t>
  </si>
  <si>
    <t>Final</t>
  </si>
  <si>
    <t>RESUMEN DE RESULTADOS, INDICADORES Y METAS</t>
  </si>
  <si>
    <t xml:space="preserve">VINCULACIÓN INSITUCIONAL </t>
  </si>
  <si>
    <t>Dato absoluto</t>
  </si>
  <si>
    <t>MAGNITUD DEL INDICADOR (meta a alcanzar)</t>
  </si>
  <si>
    <t>Dato relativo %</t>
  </si>
  <si>
    <t>Dato Relativo %</t>
  </si>
  <si>
    <t>Inmediato</t>
  </si>
  <si>
    <t>Descripción de Resultado</t>
  </si>
  <si>
    <t>Ruta de Trabajo</t>
  </si>
  <si>
    <t>Nivel de Resultado</t>
  </si>
  <si>
    <t xml:space="preserve">Nivel </t>
  </si>
  <si>
    <t>PRODUCTO  / SUBPRODUCTO</t>
  </si>
  <si>
    <t>Meta financiera</t>
  </si>
  <si>
    <t>Producto 1:</t>
  </si>
  <si>
    <t>Producto 2:</t>
  </si>
  <si>
    <t xml:space="preserve">PLAN OPERATIVO MULTIANUAL </t>
  </si>
  <si>
    <t xml:space="preserve">FICHA DE SEGUIMIENTO MULTIANUAL </t>
  </si>
  <si>
    <t>RESULTADO 
(ESTRATEGICO Y/O INSTITUCIONAL)</t>
  </si>
  <si>
    <t>Datos Absolutos</t>
  </si>
  <si>
    <t xml:space="preserve">Datos Relativos </t>
  </si>
  <si>
    <t>META</t>
  </si>
  <si>
    <t xml:space="preserve"> Ejecutada  </t>
  </si>
  <si>
    <t xml:space="preserve">Ejecutada </t>
  </si>
  <si>
    <t xml:space="preserve">PRODUCTOS </t>
  </si>
  <si>
    <t xml:space="preserve">SEGUIMIENTO A NIVEL MULTIANUAL DE LOS PRODUCTOS </t>
  </si>
  <si>
    <t xml:space="preserve"> UNIDAD DE MEDIDA </t>
  </si>
  <si>
    <t xml:space="preserve">INDICADOR DE PRODUCTO Y FORMULA </t>
  </si>
  <si>
    <t>Cuatrimestre 1</t>
  </si>
  <si>
    <t>Cuatrimestre 2</t>
  </si>
  <si>
    <t>Cuatrimestre 3</t>
  </si>
  <si>
    <t xml:space="preserve">PLAN OPERATIVO ANUAL </t>
  </si>
  <si>
    <t>Total anual</t>
  </si>
  <si>
    <t>TOTAL  INSTITUCIONAL</t>
  </si>
  <si>
    <t>PRODUCTO  / SUBPRODUCTO /ACCIONES</t>
  </si>
  <si>
    <t>PROGRAMACION MENSUAL PRODUCTO-SUBPRODUCTO-ACCIONES</t>
  </si>
  <si>
    <t>CANTIDAD</t>
  </si>
  <si>
    <t>PRECIO UNITARIO</t>
  </si>
  <si>
    <t>PRECIO TOTAL</t>
  </si>
  <si>
    <t>PROGRAMACION POR CUATRIMESTRE</t>
  </si>
  <si>
    <t xml:space="preserve">FICHA DE SEGUIMIENTO ANUAL </t>
  </si>
  <si>
    <t>SEGUIMIENTO A NIVEL ANUAL DEL PRODUCTO</t>
  </si>
  <si>
    <t>PRODUCTO</t>
  </si>
  <si>
    <t>SUBPRODUCTO</t>
  </si>
  <si>
    <t>INDICADORES DE SUBPRODUCTO</t>
  </si>
  <si>
    <t xml:space="preserve">SEGUIMIENTO A NIVEL ANUAL DE LOS SUBPRODUCTOS </t>
  </si>
  <si>
    <t>META FISICA Y FINANCIERA</t>
  </si>
  <si>
    <t xml:space="preserve">INSUMO </t>
  </si>
  <si>
    <t xml:space="preserve">INDICADOR DE SUBPRODUCTO Y FORMULA </t>
  </si>
  <si>
    <t xml:space="preserve"> NOMBRE DEL CLASIFICADOR TEMATICO</t>
  </si>
  <si>
    <t>Física</t>
  </si>
  <si>
    <t xml:space="preserve">Financiera </t>
  </si>
  <si>
    <t>PRODUCTO / SUBPRODUCTO QUE SE ASOCIA AL CLASIFICADOR TEMÁTICO</t>
  </si>
  <si>
    <t>CLASIFICADORES TEMÁTICOS</t>
  </si>
  <si>
    <t xml:space="preserve">NOTA: VER CRITERIOS DE PONDERACIÓN AL PIE DE PÁGINA </t>
  </si>
  <si>
    <t xml:space="preserve">Territorialización </t>
  </si>
  <si>
    <t>Urbana</t>
  </si>
  <si>
    <t>Rural</t>
  </si>
  <si>
    <t>Garifuna</t>
  </si>
  <si>
    <t xml:space="preserve"> </t>
  </si>
  <si>
    <t>Uspanteko</t>
  </si>
  <si>
    <t>Tz'utujil</t>
  </si>
  <si>
    <t>Tektiteko</t>
  </si>
  <si>
    <t>Sipakapense</t>
  </si>
  <si>
    <t>Sakapulteko</t>
  </si>
  <si>
    <t>Q'eqchi'</t>
  </si>
  <si>
    <t>Q'anjob'al</t>
  </si>
  <si>
    <t>Poqomchi'</t>
  </si>
  <si>
    <t>Poqomam</t>
  </si>
  <si>
    <t>Mopán</t>
  </si>
  <si>
    <t>Mam</t>
  </si>
  <si>
    <t>K'iche'</t>
  </si>
  <si>
    <t>Kaqchikel</t>
  </si>
  <si>
    <t>Jakalteca</t>
  </si>
  <si>
    <t>Ixil</t>
  </si>
  <si>
    <t>Itza’</t>
  </si>
  <si>
    <t>Chuj</t>
  </si>
  <si>
    <t>Ch'orti’</t>
  </si>
  <si>
    <t>Chalchiteka</t>
  </si>
  <si>
    <t>Castellano</t>
  </si>
  <si>
    <t>Awakateko</t>
  </si>
  <si>
    <t>Meztizo</t>
  </si>
  <si>
    <t>Akateko</t>
  </si>
  <si>
    <t>Maya</t>
  </si>
  <si>
    <t>Achi'</t>
  </si>
  <si>
    <t>COMUNIDAD LINGÜÍSTICA</t>
  </si>
  <si>
    <t>PUEBLO</t>
  </si>
  <si>
    <t>Actor nombre y descripción</t>
  </si>
  <si>
    <t>(4)</t>
  </si>
  <si>
    <t xml:space="preserve">Recursos </t>
  </si>
  <si>
    <t xml:space="preserve">Acciones Principales y como puede influir en la gestión institucional del problema </t>
  </si>
  <si>
    <t>Ubicación geográfica  y área de influencia</t>
  </si>
  <si>
    <t>Rol</t>
  </si>
  <si>
    <t>Importancia</t>
  </si>
  <si>
    <t>Poder</t>
  </si>
  <si>
    <t>Interés</t>
  </si>
  <si>
    <r>
      <t>(3)</t>
    </r>
    <r>
      <rPr>
        <b/>
        <sz val="7"/>
        <color indexed="8"/>
        <rFont val="Candara"/>
        <family val="2"/>
      </rPr>
      <t xml:space="preserve">  </t>
    </r>
    <r>
      <rPr>
        <b/>
        <sz val="12"/>
        <color indexed="8"/>
        <rFont val="Candara"/>
        <family val="2"/>
      </rPr>
      <t>Jerarquización del poder</t>
    </r>
  </si>
  <si>
    <r>
      <t>(4)</t>
    </r>
    <r>
      <rPr>
        <b/>
        <sz val="7"/>
        <color indexed="8"/>
        <rFont val="Candara"/>
        <family val="2"/>
      </rPr>
      <t xml:space="preserve">  </t>
    </r>
    <r>
      <rPr>
        <b/>
        <sz val="12"/>
        <color indexed="8"/>
        <rFont val="Candara"/>
        <family val="2"/>
      </rPr>
      <t>Interés que posea el actor</t>
    </r>
  </si>
  <si>
    <t>Facilitador</t>
  </si>
  <si>
    <t>A favor</t>
  </si>
  <si>
    <t>Alto interés</t>
  </si>
  <si>
    <t>Aliado</t>
  </si>
  <si>
    <t>Indeciso/indiferente</t>
  </si>
  <si>
    <t>Bajo Interés</t>
  </si>
  <si>
    <t>Oponente</t>
  </si>
  <si>
    <t>En contra</t>
  </si>
  <si>
    <t>Neutro</t>
  </si>
  <si>
    <t>Los actores son aquellos agentes con los cuales se establece alguna relación, sea ésta de coordinación, alianza o apoyo a la gestión institucional en uno o más cursos de acción relacionados con la problemática priorizada, también pueden asumir una actitud de indiferencia o ser contrarios a la intervención que se pretende desarrollar. Pueden ser personas, grupos de personas, organizaciones o instituciones.</t>
  </si>
  <si>
    <t>Matriz de Análisis FODA- INICIATIVAS ESTRATÉGICAS</t>
  </si>
  <si>
    <t>ESPACIO VACIO</t>
  </si>
  <si>
    <t>FORTALEZAS</t>
  </si>
  <si>
    <t>DEBILIDADES</t>
  </si>
  <si>
    <t>F1</t>
  </si>
  <si>
    <t>D1</t>
  </si>
  <si>
    <t>F2</t>
  </si>
  <si>
    <t>D2</t>
  </si>
  <si>
    <t>F3</t>
  </si>
  <si>
    <t>D3</t>
  </si>
  <si>
    <t>F4</t>
  </si>
  <si>
    <t>D4</t>
  </si>
  <si>
    <t>F5</t>
  </si>
  <si>
    <t>D5</t>
  </si>
  <si>
    <t>F6</t>
  </si>
  <si>
    <t>D6</t>
  </si>
  <si>
    <t>F7</t>
  </si>
  <si>
    <t>D7</t>
  </si>
  <si>
    <t>F8</t>
  </si>
  <si>
    <t>D8</t>
  </si>
  <si>
    <t>F9</t>
  </si>
  <si>
    <t>D9</t>
  </si>
  <si>
    <t>F10</t>
  </si>
  <si>
    <t>D10</t>
  </si>
  <si>
    <t>OPORTUNIDADES</t>
  </si>
  <si>
    <t>O1</t>
  </si>
  <si>
    <t>FO1</t>
  </si>
  <si>
    <t>DO1</t>
  </si>
  <si>
    <t>O2</t>
  </si>
  <si>
    <t>O3</t>
  </si>
  <si>
    <t>FO2</t>
  </si>
  <si>
    <t>DO2</t>
  </si>
  <si>
    <t>O4</t>
  </si>
  <si>
    <t>O5</t>
  </si>
  <si>
    <t>FO3</t>
  </si>
  <si>
    <t>DO3</t>
  </si>
  <si>
    <t>O6</t>
  </si>
  <si>
    <t>O7</t>
  </si>
  <si>
    <t>FO4</t>
  </si>
  <si>
    <t>DO4</t>
  </si>
  <si>
    <t>O8</t>
  </si>
  <si>
    <t>O9</t>
  </si>
  <si>
    <t>FO5</t>
  </si>
  <si>
    <t>DO5</t>
  </si>
  <si>
    <t>O10</t>
  </si>
  <si>
    <t>AMENZAS</t>
  </si>
  <si>
    <t>FA1</t>
  </si>
  <si>
    <t>DA1</t>
  </si>
  <si>
    <t>A2</t>
  </si>
  <si>
    <t>FA2</t>
  </si>
  <si>
    <t>DA2</t>
  </si>
  <si>
    <t>A3</t>
  </si>
  <si>
    <t>A4</t>
  </si>
  <si>
    <t>FA3</t>
  </si>
  <si>
    <t>DA3</t>
  </si>
  <si>
    <t>A5</t>
  </si>
  <si>
    <t>A6</t>
  </si>
  <si>
    <t>FA4</t>
  </si>
  <si>
    <t>DA4</t>
  </si>
  <si>
    <t>A7</t>
  </si>
  <si>
    <t>A8</t>
  </si>
  <si>
    <t>A9</t>
  </si>
  <si>
    <t>RENGLÓN</t>
  </si>
  <si>
    <t>CÓDIGO DE INSUMO</t>
  </si>
  <si>
    <t>FUENTE DE FINANCIAMIENTO</t>
  </si>
  <si>
    <t>Responsable</t>
  </si>
  <si>
    <t>Análisis de Políticas</t>
  </si>
  <si>
    <t>Población</t>
  </si>
  <si>
    <t>ANÁLISIS DE POBLACIÓN</t>
  </si>
  <si>
    <t>Evidencias</t>
  </si>
  <si>
    <t>Análisis de Actores</t>
  </si>
  <si>
    <t>POA</t>
  </si>
  <si>
    <t>POM</t>
  </si>
  <si>
    <t>Ficha de seguimiento POM</t>
  </si>
  <si>
    <t>Programación Mensual: Productos-Subproductos-Acciones</t>
  </si>
  <si>
    <t>Ficha de seguimiento POA</t>
  </si>
  <si>
    <t>Ficha del indicador de Resultados</t>
  </si>
  <si>
    <t>Clasificadores temáticos</t>
  </si>
  <si>
    <t>Criterios de Ponderación</t>
  </si>
  <si>
    <r>
      <rPr>
        <sz val="14"/>
        <rFont val="Candara"/>
        <family val="2"/>
      </rPr>
      <t xml:space="preserve">Herramienta de análisis, que permite sintetizar las fortalezas y debilidades internas de la institución como las oportunidades y amenazas que plantea el entorno y que ayuda a combinar dichos elementos para encontrar formas de potenciar el quehacer institucional. </t>
    </r>
    <r>
      <rPr>
        <sz val="14"/>
        <color theme="1"/>
        <rFont val="Candara"/>
        <family val="2"/>
      </rPr>
      <t xml:space="preserve">
</t>
    </r>
  </si>
  <si>
    <r>
      <t>(1)</t>
    </r>
    <r>
      <rPr>
        <b/>
        <sz val="7"/>
        <color indexed="8"/>
        <rFont val="Candara"/>
        <family val="2"/>
      </rPr>
      <t xml:space="preserve">    </t>
    </r>
    <r>
      <rPr>
        <b/>
        <sz val="12"/>
        <color indexed="8"/>
        <rFont val="Candara"/>
        <family val="2"/>
      </rPr>
      <t>Rol que desempeñan:</t>
    </r>
  </si>
  <si>
    <r>
      <t>(2)</t>
    </r>
    <r>
      <rPr>
        <b/>
        <sz val="7"/>
        <color indexed="8"/>
        <rFont val="Candara"/>
        <family val="2"/>
      </rPr>
      <t xml:space="preserve">  </t>
    </r>
    <r>
      <rPr>
        <b/>
        <sz val="12"/>
        <color indexed="8"/>
        <rFont val="Candara"/>
        <family val="2"/>
      </rPr>
      <t>Importancia de las relaciones predominantes</t>
    </r>
  </si>
  <si>
    <t xml:space="preserve">LINEA DE BASE </t>
  </si>
  <si>
    <t xml:space="preserve">       </t>
  </si>
  <si>
    <t>HERRAMIENTAS DE APOYO SUGERIDAS PARA ANÁLISIS Y ELABORACION DE LOS SIGUIENTES INSTRUMENTOS DE PLANIFICACION:</t>
  </si>
  <si>
    <t xml:space="preserve">  HERRAMIENTAS  DE APOYO SUGERIDAS PARA ELABORACION DE LOS INSTRUMENTOS DE PLANIFICACIÓN  PEI-POM-POA                                                                                     </t>
  </si>
  <si>
    <t>http://www.minfin.gob.gt/images/downloads/leyes_manuales/manuales_dtp/guia_conceptual_gestion_resultados.pdf</t>
  </si>
  <si>
    <t>Los documentos PEI,POM POA,  deben estructurarse de  forma integrada y concordante, que  refleje la secuencia lógica de las actividades que la institución realiza para darle cumplimiento a las metas tanto físicas como financieras en un periodo de tiempo establecido.                                                                                                                                                                                  
Las herramientas contenidas en el presente documento facilitarán la elaboración y/o construcción del PEI, POM, POA de manera armonizada.</t>
  </si>
  <si>
    <t>Aspectos de forma:</t>
  </si>
  <si>
    <t>Recomendaciones</t>
  </si>
  <si>
    <t>El contenido presentado en el PEI no debe repetirse en el  POM y POA,  y viceversa.</t>
  </si>
  <si>
    <t>PROBLEMA CENTRAL</t>
  </si>
  <si>
    <t>RANGO DE EDAD</t>
  </si>
  <si>
    <t>Ir a Introducción</t>
  </si>
  <si>
    <t>Introducción (se recomienda su lectura previo a ingresar a las herramientas)</t>
  </si>
  <si>
    <t>Haga click en el vinculo para ir a la herramienta</t>
  </si>
  <si>
    <t xml:space="preserve">Pueblo al que Pertenece la Población </t>
  </si>
  <si>
    <t>3) Referenciar todo documento, informe y cuadros con citas bibliográficas (fuentes de información)</t>
  </si>
  <si>
    <t xml:space="preserve">Proceso de Planificación y Programación Sectorial y Territorial </t>
  </si>
  <si>
    <t>Ejercicio Fiscal 2021 y Multianual 2021-2025</t>
  </si>
  <si>
    <t>4) El oficio de entrega debe contener la firma de la máxima autoridad de la institución y dirigirlo a la Señora Secretaria de Segeplán: Luz Kelia Virginia Gramajo Vilchez</t>
  </si>
  <si>
    <t>Pilar de la Política General de Gobierno 2020-2024</t>
  </si>
  <si>
    <t xml:space="preserve">Objetivo Sectorial </t>
  </si>
  <si>
    <t>Meta Estratégica</t>
  </si>
  <si>
    <t>Meta PGG</t>
  </si>
  <si>
    <t xml:space="preserve">RED  </t>
  </si>
  <si>
    <t>Objetivo Sectorial PGG</t>
  </si>
  <si>
    <t xml:space="preserve">PROGRAMACIÓN DE INSUMOS DE LAS ACCIONES </t>
  </si>
  <si>
    <t>Cuatrimestre 1 2021</t>
  </si>
  <si>
    <t>Cuatrimestre 2 2021</t>
  </si>
  <si>
    <t>Cuatrimestre 3 2021</t>
  </si>
  <si>
    <t>TOAL 2021</t>
  </si>
  <si>
    <t>Metas al 2021</t>
  </si>
  <si>
    <t>Cuantificación de metas  2021</t>
  </si>
  <si>
    <t>SPP-15</t>
  </si>
  <si>
    <t>Ir a SPP-Anexo 4 Información de apoyo</t>
  </si>
  <si>
    <t>CONTENIDO MINIMO</t>
  </si>
  <si>
    <t>SPPD-01</t>
  </si>
  <si>
    <t>SPPD-02</t>
  </si>
  <si>
    <t>SPDP-03</t>
  </si>
  <si>
    <t>SPPD-04</t>
  </si>
  <si>
    <t>SPPD-05</t>
  </si>
  <si>
    <t>SPPD-06</t>
  </si>
  <si>
    <t>SPPD-07</t>
  </si>
  <si>
    <t>SPPD-08</t>
  </si>
  <si>
    <t>SPPD-09</t>
  </si>
  <si>
    <t>SPPD-10</t>
  </si>
  <si>
    <t>SPPD-11</t>
  </si>
  <si>
    <t>SPPD-12</t>
  </si>
  <si>
    <t>SPPD-13</t>
  </si>
  <si>
    <t>SPPD-14</t>
  </si>
  <si>
    <t>SPPD-15</t>
  </si>
  <si>
    <t>SPPD-16</t>
  </si>
  <si>
    <t>SPPD-ANEXO 1</t>
  </si>
  <si>
    <t xml:space="preserve"> ANEXO SPPD-02</t>
  </si>
  <si>
    <t>SPPD-ANEXO 2</t>
  </si>
  <si>
    <t>SPPD-ANEXO 3</t>
  </si>
  <si>
    <t>PEI</t>
  </si>
  <si>
    <t xml:space="preserve">Subsecretaría de Planificación y Programación para el Desarrollo SPPD </t>
  </si>
  <si>
    <t>Herramientas de apoyo del Proceso de Planificación  
Ejercicio Fiscal 2021 y multianual 2021-2025</t>
  </si>
  <si>
    <t>Análisis de Mandatos</t>
  </si>
  <si>
    <t xml:space="preserve">ANÁLISIS DE  MANDATOS </t>
  </si>
  <si>
    <t>FUNCIONES QUE DESARROLLA LA INSTITUCIÓN
 (principales funciones según mandato)</t>
  </si>
  <si>
    <t>ANÁLISIS DE  POLÍTICAS</t>
  </si>
  <si>
    <t>NOMBRE DE LA ENTIDAD Y CUÁL ES EL HORIZONTE DE LA INSTITUCIÓN</t>
  </si>
  <si>
    <t>FORMULACIÓN  DE LA VISIÓN</t>
  </si>
  <si>
    <t>FORMULACIÓN DE  LA  MISIÓN</t>
  </si>
  <si>
    <t>ANÁLISIS DE ACTORES</t>
  </si>
  <si>
    <t>*CAUSA</t>
  </si>
  <si>
    <t xml:space="preserve">*  Según Modelo Conceptual </t>
  </si>
  <si>
    <t>**Población universo</t>
  </si>
  <si>
    <t>**Población objetivo</t>
  </si>
  <si>
    <t>**Población elegible</t>
  </si>
  <si>
    <t xml:space="preserve">***Sexo </t>
  </si>
  <si>
    <t>BUSQUEDA Y SISTEMATIZACIÓN DE EVIDENCIAS (MODELO EXPLICATIVO)</t>
  </si>
  <si>
    <t>Contenidos</t>
  </si>
  <si>
    <t>2) Presentar CD que contenga las versiones digitales de los instrumentos y una impresión en ambas caras del papel.</t>
  </si>
  <si>
    <t>NOMBRE Y DESCRIPCIÓN  DEL MANDATO Y NORMATIVA RELACIONADA CON LA INSTITUCION
( base legal, convenios, reglamentos, etc. )</t>
  </si>
  <si>
    <t>Alineación - Vinculación Estratégica  Sectorial e Institucional</t>
  </si>
  <si>
    <t xml:space="preserve">Identificación, análisis y priorización de la Problemática </t>
  </si>
  <si>
    <t>Las herramientas de planificación, tienen como objetivo apoyar  el proceso de análisis para la formulación de los instrumentos de planificación  institucional PEI, POM, POA, que permitan la identificación de las actividades que realizan las instituciones del sector público guatemalteco, tomando en consideración entre otros los artículos 2,8 ,17 Bis,30, 80 de la Ley Orgánica del Presupuesto y 3,4 ,11, 16,19 ,21, 24, 38 de su Reglamento. 
La Secretaria de Planificación y Programación de la Presidencia,  coordina las directrices necesarias para que el proceso de formulación de los instrumentos de planificación,  se oriente con el enfoque de gestión por resultados, para que se visibilicen los cambios sostenibles en la población, a través de las estrategias de análisis que permitan cumplir los  resultados institucionales y estratégicos.</t>
  </si>
  <si>
    <t xml:space="preserve">Estas herramientas de apoyo han sido elaborada en base a las buenas prácticas que se han detectado en el proceso a través de los años de implementación de la GpR. Las mismas están apoyando el uso de la "Guía Conceptual y de Planificación y Presupuesto por Resultados - Gestión por Resultados", la cual esta normada para la elaboración de estos instrumentos  en el "Reglamento de la Ley Orgánica del Presupuesto" Artículo 11. </t>
  </si>
  <si>
    <t>1) Entrega a las instituciones correspondientes según fechas establecidas en la "Ley Orgánica del Presupuesto" y su Reglamento. Artículo 2.</t>
  </si>
  <si>
    <t>Vigencia de la política</t>
  </si>
  <si>
    <t>Objetivo de la política</t>
  </si>
  <si>
    <t>Población que describe la política</t>
  </si>
  <si>
    <t>Meta de la política</t>
  </si>
  <si>
    <t>Vinculación institucional con esta Política (describir las intervenciones o acciones que realiza la institución en el cumplimiento de la política)</t>
  </si>
  <si>
    <t xml:space="preserve">Se cuenta con evidencia académica, registros estadísticos. </t>
  </si>
  <si>
    <t xml:space="preserve">** Ver página 7, Documento Guía Conceptual Gestión por Resultados </t>
  </si>
  <si>
    <t xml:space="preserve">***  Cuando se obtenga la información </t>
  </si>
  <si>
    <t xml:space="preserve">Descripción de la población objetivo que por mandato debe atender la institución: </t>
  </si>
  <si>
    <t xml:space="preserve">Comunidad Lingüística </t>
  </si>
  <si>
    <t>Nota: Las evidencias deben corresponder a fuentes académicas reconocidas nacional o internacionalmente, fuentes científicas, expertos reconocidos y buenas practicas que hayan sido comprobadas.</t>
  </si>
  <si>
    <t>Revista especializada en la temática</t>
  </si>
  <si>
    <t>Documentos o estudios académicos</t>
  </si>
  <si>
    <t xml:space="preserve">*Línea de Base: 
Dato de comparación con el que cuenta la institución, puede ser como mínimo uno o dos años antes de la formulación.  
Debe presentarse en datos absolutos. </t>
  </si>
  <si>
    <t>Acción Estratégica</t>
  </si>
  <si>
    <t>Intermedio</t>
  </si>
  <si>
    <t>Meta de la Política General de Gobierno asociada</t>
  </si>
  <si>
    <t>¿QUÉ BUSCAMOS?
 Función principal, razón de ser</t>
  </si>
  <si>
    <t>¿QUÉ PRODUCIMOS?
 Principales productos (bienes y servicios) que se generan</t>
  </si>
  <si>
    <t>¿POR QUÉ LO HACEMOS?</t>
  </si>
  <si>
    <t>¿PARA QUÉ?  / ¿PARA QUIÉNES?</t>
  </si>
  <si>
    <t>Describir  como los  valores institucionales se aplican también  hacia la población objetivo o elegible</t>
  </si>
  <si>
    <t xml:space="preserve"> INDICADOR DE RESULTADO (descripción)</t>
  </si>
  <si>
    <t>*Nota: según corresponda de acuerdo a  la Ley Orgánica del  Presupuesto (Artículo 17 Quater , ejecución presupuestaria por clasificador temático)</t>
  </si>
  <si>
    <t>Acción PGG</t>
  </si>
  <si>
    <t>NOTA:  En el CD que se entrega en la socialización de transferencia de información normativa se adjunta presentación con información detallada.</t>
  </si>
  <si>
    <t>Accion PGG</t>
  </si>
  <si>
    <t>Producto 1:
Dirección y Coordinación</t>
  </si>
  <si>
    <t>Subproducto  1. Dirección y Coordinación</t>
  </si>
  <si>
    <t>Documento</t>
  </si>
  <si>
    <t>Mes</t>
  </si>
  <si>
    <r>
      <t xml:space="preserve">Acción 1: </t>
    </r>
    <r>
      <rPr>
        <sz val="11"/>
        <color theme="1"/>
        <rFont val="Candara"/>
        <family val="2"/>
      </rPr>
      <t>Nómina de Sueldos  de personal permanente (011). 39 personas de la sede central y (11) de las sedes regionales (Delegadas), incluye ingreso nominal mensual, Bono 14, Aguinaldo y Bono vacacional.</t>
    </r>
  </si>
  <si>
    <t>Nómina</t>
  </si>
  <si>
    <t>Sin insumo</t>
  </si>
  <si>
    <r>
      <t xml:space="preserve">Acción 2: </t>
    </r>
    <r>
      <rPr>
        <sz val="11"/>
        <color theme="1"/>
        <rFont val="Candara"/>
        <family val="2"/>
      </rPr>
      <t>Nómina de honorarios de personal de apoyo  técnico y profesional (otras remuneraciones de personal temporal 029). 27 personas</t>
    </r>
  </si>
  <si>
    <r>
      <rPr>
        <b/>
        <sz val="11"/>
        <color theme="1"/>
        <rFont val="Candara"/>
        <family val="2"/>
      </rPr>
      <t>Acción 3:</t>
    </r>
    <r>
      <rPr>
        <sz val="11"/>
        <color theme="1"/>
        <rFont val="Candara"/>
        <family val="2"/>
      </rPr>
      <t xml:space="preserve"> Servicios no personales para funcionamiento básico en la institución. Comprende: Servicios básicos, Divulgación e impresiones, víaticos y reconocimientos de gastos, transportes, arrendamiento de edificios, Mantenimiento y reparacion de equipos e instalaciones, fianzas, impuestos, entre otros.</t>
    </r>
  </si>
  <si>
    <t>Servicios</t>
  </si>
  <si>
    <r>
      <rPr>
        <b/>
        <sz val="11"/>
        <color theme="1"/>
        <rFont val="Candara"/>
        <family val="2"/>
      </rPr>
      <t>Acción 4:</t>
    </r>
    <r>
      <rPr>
        <sz val="11"/>
        <color theme="1"/>
        <rFont val="Candara"/>
        <family val="2"/>
      </rPr>
      <t xml:space="preserve"> Materiales y suministros para las oficinas de la Defensoría de la Mujer Indígena en la sede central y en las 13 sedes regionales.</t>
    </r>
  </si>
  <si>
    <t>UDAF</t>
  </si>
  <si>
    <t>RRHH</t>
  </si>
  <si>
    <t>11,        012, 013, 014, 015, 071, 072,      073</t>
  </si>
  <si>
    <t>Víaticos en el interior</t>
  </si>
  <si>
    <t>Reconocimiento de gastos</t>
  </si>
  <si>
    <t>eventos</t>
  </si>
  <si>
    <t>Almuerzo</t>
  </si>
  <si>
    <t>Unidad</t>
  </si>
  <si>
    <t>Despacho de la Defensoría de la Mujer Indìgena</t>
  </si>
  <si>
    <t>Dietas</t>
  </si>
  <si>
    <t>Reunion</t>
  </si>
  <si>
    <t>Veladoras</t>
  </si>
  <si>
    <t>Unidad de promociòn y Desarrollo Polìtico Legal</t>
  </si>
  <si>
    <t>Producto 2. Mujeres Indígenas con Servicios de Atención Integral</t>
  </si>
  <si>
    <t>Persona</t>
  </si>
  <si>
    <t>Subproducto 1. Mujeres Indígenas Violentadas en sus Derechos, Reciben Atención Jurídica</t>
  </si>
  <si>
    <t>Subproducto 2. Mujeres Indígenas Violentadas en sus Derechos, Reciben Atención Social</t>
  </si>
  <si>
    <t>Subproducto 3. Mujeres Indígenas Violentadas en sus Derechos, Reciben Atención Psicológica</t>
  </si>
  <si>
    <t>Subproducto 4. Personas Informadas y Capacitadas en Derechos Humanos para la Prevención de la Violencia Contra las Mujeres Indígenas</t>
  </si>
  <si>
    <r>
      <rPr>
        <b/>
        <sz val="11"/>
        <color theme="1"/>
        <rFont val="Candara"/>
        <family val="2"/>
      </rPr>
      <t>Acción 1.</t>
    </r>
    <r>
      <rPr>
        <sz val="11"/>
        <color theme="1"/>
        <rFont val="Candara"/>
        <family val="2"/>
      </rPr>
      <t xml:space="preserve"> Nómina de Sueldos  de personal permanente (011). 2 abogadas y 1 asistente en la sede central , 11 abogadas y 2 asistentes en sedes regionales incluye ingreso nominal mensual, Bono 14, Aguinaldo y Bono vacacional.</t>
    </r>
  </si>
  <si>
    <r>
      <rPr>
        <b/>
        <sz val="11"/>
        <color theme="1"/>
        <rFont val="Candara"/>
        <family val="2"/>
      </rPr>
      <t>Acción 1</t>
    </r>
    <r>
      <rPr>
        <sz val="11"/>
        <color theme="1"/>
        <rFont val="Candara"/>
        <family val="2"/>
      </rPr>
      <t>. Nómina de Sueldos  de personal permanente (011). 1 Licenciada en educación y 1 asistente en sede central, incluye ingreso nominal mensual, Bono 14, Aguinaldo y Bono vacacional.</t>
    </r>
  </si>
  <si>
    <r>
      <t xml:space="preserve">Acción 2: </t>
    </r>
    <r>
      <rPr>
        <sz val="11"/>
        <color theme="1"/>
        <rFont val="Candara"/>
        <family val="2"/>
      </rPr>
      <t>Atención psicológica a mujeres indígenas violentadas  en sus derechos, a petición de parte o referidas a esta Unidad, a través de un mínimo de 4 sesiones psicoterapéuticas por persona hasta 20, según el caso. Honorarios de personal (otras remuneraciones de personal temporal 029). 10 psicológas para: Sede central, Chimaltenango, Santa Rosa, Sololá, Totonicapán, Suchitepequez, San Marcos, Baja Verapaz, Petén e Izabal</t>
    </r>
  </si>
  <si>
    <t>Combustible para mantenimiento preventivo, limpieza de equipo de computo general  5 dias San Marcos,  Quetzaltenango, Santa Rosa, Chimaltenango, Huehuetenango, Totonicapan, Quiche, Solola, Peten, Izabal, Alta Verapaz,Baja Verapaz. 3 personas</t>
  </si>
  <si>
    <t>wipe</t>
  </si>
  <si>
    <t>Tarjeta Inteligente</t>
  </si>
  <si>
    <t>bote limpia contacto</t>
  </si>
  <si>
    <t>bote aire comprimido</t>
  </si>
  <si>
    <t>liquido limpiador pantalla</t>
  </si>
  <si>
    <t>Unidad de informatica de la Defensoría de la Mujer Indígena.</t>
  </si>
  <si>
    <t>Cupones</t>
  </si>
  <si>
    <t>Unidad de promociòn y Desarrollo Polìtico Legal de la Defensoría de la Mujer Indígena</t>
  </si>
  <si>
    <t>Viáticos para realizacion de sesion de consejo consultivo</t>
  </si>
  <si>
    <t>Reconocimiento de gasto para realizacion de sesion de consejo consultivo</t>
  </si>
  <si>
    <t>Transporte para las integrantes de consejo consultivo</t>
  </si>
  <si>
    <t>Logistica para evento de consejo consultivo, hospedaje para dos nohes, alimentación: refacción a.m, pm.,desayuno, almuerzo y cena para tres días, salon para reuniones, dos días.</t>
  </si>
  <si>
    <t>Arreglos florales</t>
  </si>
  <si>
    <t>Combustible para consejo consultivo</t>
  </si>
  <si>
    <t>Botón insignia</t>
  </si>
  <si>
    <t>Costal</t>
  </si>
  <si>
    <t>Ramo</t>
  </si>
  <si>
    <t>Unidad de Comunicación social y Desarrollo Político Legal</t>
  </si>
  <si>
    <t>Unidad de atención social de la Defensoría de la Mujer Indígena, en las sede  central y sedes regionales</t>
  </si>
  <si>
    <t>011,      012, 013, 014, 015, 071, 072,      073</t>
  </si>
  <si>
    <t>Viáticos</t>
  </si>
  <si>
    <t>Combustible</t>
  </si>
  <si>
    <r>
      <rPr>
        <b/>
        <sz val="11"/>
        <color theme="1"/>
        <rFont val="Candara"/>
        <family val="2"/>
      </rPr>
      <t>Acción 3.</t>
    </r>
    <r>
      <rPr>
        <sz val="11"/>
        <color theme="1"/>
        <rFont val="Candara"/>
        <family val="2"/>
      </rPr>
      <t xml:space="preserve"> Apoyo y acompañamiento técnico a las encargadas de Atención Social  en el cumplimiento de funciones  para la defensa y protección de  derechos de las mujeres indígenas, mayas garifunas y xinkas de  Guatemala. </t>
    </r>
  </si>
  <si>
    <r>
      <rPr>
        <b/>
        <sz val="11"/>
        <color theme="1"/>
        <rFont val="Candara"/>
        <family val="2"/>
      </rPr>
      <t xml:space="preserve">Acción 1. </t>
    </r>
    <r>
      <rPr>
        <sz val="11"/>
        <color theme="1"/>
        <rFont val="Candara"/>
        <family val="2"/>
      </rPr>
      <t>Nómina de Sueldos  de personal permanente (011).  Que realiza atención social: 1 Trabajadora social y 1 asistente en la sede central , 11 trabajadoras sociales  y 2 asistentes en sedes regionales incluye ingreso nominal mensual, Bono 14, Aguinaldo y Bono vacacional.</t>
    </r>
  </si>
  <si>
    <r>
      <t xml:space="preserve">Acción 2: </t>
    </r>
    <r>
      <rPr>
        <sz val="11"/>
        <color theme="1"/>
        <rFont val="Candara"/>
        <family val="2"/>
      </rPr>
      <t>Nómina de honorarios de personal de apoyo  técnico y profesional en atención social  (otras remuneraciones de personal temporal 029). Cuatro trabajadoras sociales para: sede Central, Chimaltenango, Totonicapán, Quetzaltenango y 1 apoyo técncio sede central.</t>
    </r>
  </si>
  <si>
    <r>
      <rPr>
        <b/>
        <sz val="11"/>
        <color theme="1"/>
        <rFont val="Candara"/>
        <family val="2"/>
      </rPr>
      <t xml:space="preserve">Acción 4. </t>
    </r>
    <r>
      <rPr>
        <sz val="11"/>
        <color theme="1"/>
        <rFont val="Candara"/>
        <family val="2"/>
      </rPr>
      <t>Acompañamiento y gestión a usuarias víctimas de violencia diferentes instancias.</t>
    </r>
  </si>
  <si>
    <r>
      <rPr>
        <b/>
        <sz val="11"/>
        <color theme="1"/>
        <rFont val="Candara"/>
        <family val="2"/>
      </rPr>
      <t>Acción 5.</t>
    </r>
    <r>
      <rPr>
        <sz val="11"/>
        <color theme="1"/>
        <rFont val="Candara"/>
        <family val="2"/>
      </rPr>
      <t xml:space="preserve"> Asistencia  a convocatorias de trabajo técnico.</t>
    </r>
  </si>
  <si>
    <t xml:space="preserve">Servicios técnicos y profesionales en asesoría jurídica </t>
  </si>
  <si>
    <t>Unidad Jurídica</t>
  </si>
  <si>
    <t>Dirección y Coordinación</t>
  </si>
  <si>
    <t>Mujeres Indígenas con Servicios de Atención Integral</t>
  </si>
  <si>
    <t>Mujeres Indígenas Violentadas en sus Derechos, Reciben Atención Jurídica</t>
  </si>
  <si>
    <t>Mujeres Indígenas Violentadas en sus Derechos, Reciben Atención Social</t>
  </si>
  <si>
    <t>Mujeres Indígenas Violentadas en sus Derechos, Reciben Atención Psicológica</t>
  </si>
  <si>
    <t>Personas Informadas y Capacitadas en Derechos Humanos para la Prevención de la Violencia Contra las Mujeres Indígenas</t>
  </si>
  <si>
    <r>
      <rPr>
        <b/>
        <sz val="11"/>
        <color theme="1"/>
        <rFont val="Candara"/>
        <family val="2"/>
      </rPr>
      <t>Acción 1</t>
    </r>
    <r>
      <rPr>
        <sz val="11"/>
        <color theme="1"/>
        <rFont val="Candara"/>
        <family val="2"/>
      </rPr>
      <t>. Nómina de Sueldos  de personal permanente (011) que brindan atención psicológica a usuarias de DEMI. 1 psicológa en sede central  y 4 psicológas en sedes regionales incluye ingreso nominal mensual, Bono 14, Aguinaldo y Bono vacacional.</t>
    </r>
  </si>
  <si>
    <t>Viáticos para monitoreo a sedes regionales 2 días por cada sede regional</t>
  </si>
  <si>
    <t>Psicologa</t>
  </si>
  <si>
    <r>
      <rPr>
        <b/>
        <sz val="11"/>
        <color theme="1"/>
        <rFont val="Candara"/>
        <family val="2"/>
      </rPr>
      <t>Acción 2</t>
    </r>
    <r>
      <rPr>
        <sz val="11"/>
        <color theme="1"/>
        <rFont val="Candara"/>
        <family val="2"/>
      </rPr>
      <t xml:space="preserve"> Servicios técnicos y profesionales en asesoría jurídica para la atenciòn de usuarias en la sede central y sedes regionales. </t>
    </r>
  </si>
  <si>
    <t>Viáticos para procurar y evacuar audiencias en  Guatemala, Sacatepequez y sus municipios.</t>
  </si>
  <si>
    <t>Combustible Procuraciones de casos en juzgadodos en los  Departamentos de Guatemala, Sacatepequez  y sus municipios.</t>
  </si>
  <si>
    <t>NOMBRE DE LA INSTITUCIÓN: Defensoría de la Mujer Indígena</t>
  </si>
  <si>
    <t>Defensoría de la Mujer Indígena</t>
  </si>
  <si>
    <t>Para el 2021, se ha incrementado el número de Mujeres Indígenas beneficiadas con servicios de prevención y atención jurídica, social y psicológica, en 7.4% (De 10,779 en 2017 a 11,582 en 2021).</t>
  </si>
  <si>
    <t>Número de  Mujeres Indígenas con sevicios de atención integral que incluye atención social, jurídico,  psicológico y  prevención de violencia contra las mujeres indígenas</t>
  </si>
  <si>
    <t>2021*</t>
  </si>
  <si>
    <t>2022 **</t>
  </si>
  <si>
    <t>2023 **</t>
  </si>
  <si>
    <t>2024 **</t>
  </si>
  <si>
    <t>2025 **</t>
  </si>
  <si>
    <t>*   El indicador de resultados aplica unicamente para el ejercicio 2021.</t>
  </si>
  <si>
    <t>** Los indicadores de resultados para los años 2022, 2023, 2024 y 2025 se encuentra en proceso de formulación conjuntamente con la planificación estratégica institucional PEI</t>
  </si>
  <si>
    <t xml:space="preserve">Número de mujeres indígenas con servicios de atención integral divido datos absolutos de linea base menos 1 </t>
  </si>
  <si>
    <t>Documentos</t>
  </si>
  <si>
    <t>Número de documentos elaborados con relación a lo programado</t>
  </si>
  <si>
    <t>Acuerdo Gubernativo 525-99 y sus reformas. Artículos 1,2,3,</t>
  </si>
  <si>
    <t>Se crea la Defensoría de la Mujer Indígena, con capacidad de gestión y ejecución administrativa, técnica y financiera, con el fin de atender las particularidades situaciones de vulnerabilidad, indefensión y discriminación de la mujer indígena, y para ello tiene las siguientes atribuciones: a) promover y desarrollar propuesta de políticas públicas, planes y programas, para la prevención, defensa y erradicación de todas las formas de violencia contra la mujer indígena. b) Recibir y canalizar, a donde corresponda, las denuncias de mujeres indígenas violentadas en sus derechos y darle el ordenado seguimiento, esta atribución se proporciona medio de los servicios: jurídico, social y psicológico. c) diseñar coordinar y ejecutar programas educativos de formación y divulgación de los derechos de las mujeres indígenas. d) Anteproyectos de iniciativa de ley en materia de derechos humanos de la mujer indígena.</t>
  </si>
  <si>
    <t>Para el cumplimiento del mandato institucional  las DEMI ha organizado sus acciones  en dos líneas de trabajo la primera relacionada a acciones de atención   a víctimas/sobrevivientes de violencia y la segunda relacionada a las acciones de prevención;  mismas que permiten por un lado  tranformar la realidad y cesar el ejercicio de violencia normalizada mismas que se desarrollan mediante  acciones de atencion social, juridica y psicologica; asi tambien mendiante  acciones formación , capacitación yt divulgación  meteriaizado en jornadas informativa, talleres, encuentros, diplomados, sport radiales y televisivos desnaturalizar en el ejercicio de violencia  al dotarles de herramientas necesarias para el conocimiento, ejercicio de derecho, respeto y cumplimiento de los mismos. Indicar que  para el cumplimiento del mandato institucional requiere de la realización de acciones  técnicas, administrativas y  políticas en  este apartado el fortalecimiento con recurso humano especializado para el cumplimiento de las atribuciones que del mandato se emanan.</t>
  </si>
  <si>
    <t>Reglamento Interno De la Defensoria de la Mujer Indigena</t>
  </si>
  <si>
    <t>Ley Marco de cumplimiento de los Acuerdos De Paz</t>
  </si>
  <si>
    <t>Constitucion Politica de la Republica de Guatemala. Articulos 1, 4, 12, 28. Ley para prevenir, sancionar y erradicar la violencia intrafamiliar, articulo1, 2, 3,7,12. Convencion Interamericana para prevenir, sancionar y erradicar la violencia contra la mujer Convencion de Belem Do para. Articulo 1, 2,3,5,6,7,810,. Convencion sobre la eliminacion de todas las formas de discriminacion contra la mujer, articulos:1,5,14.123</t>
  </si>
  <si>
    <t>Convenio de pueblos Indigenas y Tribales, por la Organización de Trabajo (OIT), convenio 169</t>
  </si>
  <si>
    <t xml:space="preserve">El Estado de Guatemala ha suscrito instrumentos internacionales en favor de las mujeres indígenas; muy importantes  para la  defensa, protección y restablecimiento de los derechos de la mujeres y pueblos indigenas,esto o permite que en Guatemala Se cuenta con el marco jurídico-político necesario para fundamentar, defender y promover los derechos de las mujeres indígenas. </t>
  </si>
  <si>
    <t>Convencion Internacional sobre la de Eliminacion de todas las formas de  discriminacion Racial. Articulos 1.</t>
  </si>
  <si>
    <t>Declaracion Universal de los Derechos Humanos</t>
  </si>
  <si>
    <t> Convención Internacional de las Naciones Unidas sobre la Eliminación de Todas las Formas de Discriminación Racial (CERD)</t>
  </si>
  <si>
    <t>Convención Americana de Derechos Humanos.</t>
  </si>
  <si>
    <t>Ley para Prevenir, Sancionar y Erradicar la Violencia Intrafamiliar, Decreto 97-96</t>
  </si>
  <si>
    <t>Ley de Dignifi cación y Promoción Integral de la Mujer</t>
  </si>
  <si>
    <t xml:space="preserve">Ley de Acceso Universal y Equitativo de Servicios de Planifi cación Familiar y su Integración en el Programa Nacional de Salud Reproductiva </t>
  </si>
  <si>
    <t>Ley de Idiomas Nacionales</t>
  </si>
  <si>
    <t xml:space="preserve">  Reglamento de la Ley para Prevenir, Sancionar y Erradicar la Violencia Intrafamiliar</t>
  </si>
  <si>
    <t>Ley de Alfabetización</t>
  </si>
  <si>
    <t>Ley de Educación Nacional.</t>
  </si>
  <si>
    <t>Ley del Sistema Nacional de Seguridad Alimentaria y Nutricional .</t>
  </si>
  <si>
    <t xml:space="preserve">Ley de Protección Integral de la Niñez y Adolescencia </t>
  </si>
  <si>
    <t>Ley de Desarrollo Social</t>
  </si>
  <si>
    <t>Ley de Promoción Educativa Contra la Discriminación</t>
  </si>
  <si>
    <t>Ley Electoral y de Partidos Políticos</t>
  </si>
  <si>
    <t>Convencion Internacional sobre la de Eliminación de todas las formas de  discriminacion Racial. Articulos 1.</t>
  </si>
  <si>
    <t>Declaracion Universal de los Pueblos Indigenas</t>
  </si>
  <si>
    <t>Resolución 1325 del Consejo de Seguridad de las Naciones Unidas sobreMujeres, Paz y Seguridad</t>
  </si>
  <si>
    <t>Resolución 1820 (2008) del Consejo de Seguridad de las Naciones Unidas</t>
  </si>
  <si>
    <t>Convención Interamericana para Prevenir, Sancionar y Erradicar la Violencia contra la Mujer (Convención de Belém do Pará) (1994)</t>
  </si>
  <si>
    <t>Declaración y Plataforma de Acción de Beijing</t>
  </si>
  <si>
    <t xml:space="preserve">Pacto Internacional de Derechos Civiles y Políticos </t>
  </si>
  <si>
    <t>Metas de los Objetivos de Desarrollo Sostenible</t>
  </si>
  <si>
    <t>Ley contra la Violencia Sexual, Explotación y Trata de Personas, Decreto 09-2009</t>
  </si>
  <si>
    <t>Ley de Búsqueda Inmediata de Mujeres Desaparecidas, Decreto 9-2016</t>
  </si>
  <si>
    <t>Ley del Banco de Datos Genéticos para Uso Forense, Decreto 22-2017</t>
  </si>
  <si>
    <t>Ley de Desarrollo Social, Decreto 42-2001</t>
  </si>
  <si>
    <t>Código de Salud, Decreto 90-97</t>
  </si>
  <si>
    <t>Decreto 13-2017 – Reformas al Código Civil</t>
  </si>
  <si>
    <t>Pacto Internacional Derechos Económicos, Sociales y Culturales</t>
  </si>
  <si>
    <t>Convención sobre los Derechos del Niño</t>
  </si>
  <si>
    <t>Declaraciones Universal de los Pueblos Indigenas</t>
  </si>
  <si>
    <t>2020-2029</t>
  </si>
  <si>
    <t>Sentar las bases para la erradicación de la VCM en todas sus manifestaciones y ámbitos, e institucionalizar estas acciones de política pública en el Estado. generar gobernanza33 en las acciones de política pública que realiza el Estado en función de la problemática de
violencia contra las mujeres, niñas y adolescentes.</t>
  </si>
  <si>
    <t>Mujeres, niñas y adolescentes.</t>
  </si>
  <si>
    <t>Desarrollar acciones que, desde una noción de gradualidad, permitan al Estado sentar las bases para la erradicación de la VCM en todas sus manifestaciones y ámbitos, e institucionalizar estas acciones de política pública en el Estado</t>
  </si>
  <si>
    <t xml:space="preserve"> Las acciones de la Defensoría de la Mujer Indígena enmarcadas en la la realizacion de acciones para  la erradicación de la  a violencia contra las mujeres; Transformar la ideología, valores, principios y prácticas fundamentadas en
la opresión , naturalización y violencia contra las mujeres mayas, garífunas, xinkas, lo que conlleva  la priorizacion de grupos heterogeneos para el alcance del os resultados previstos </t>
  </si>
  <si>
    <t>2014-2032</t>
  </si>
  <si>
    <t>El Plan nacional de desarrollo K’atun: nuestra Guatemala 2032 es la agenda de largolazo de la que dispone el Estado de Guatemala para la conducción del desarrollo en el país. Es el mecanismo que ordena y orienta la conducción del desarrollo para hacer más eficientes los recursos y plazos para el cumplimiento de metas de corto, mediano y largo plazos.Delinea la ruta para el desarrollo integral, tomando en cuenta las dinámicas sociales, económicas, políticas y ambientales, así como la implementación de acciones encaminadas al fortalecimiento del Estado de derecho y de la institucionalidad pública.</t>
  </si>
  <si>
    <t>Todos los sectores de la población a través de la consideración de variables transversales en la gestión de políticas públicas, tales como la equidad, aspectos demográficos y la gestión de riesgos.</t>
  </si>
  <si>
    <t>La finalidad delos procesos de seguimiento es realizar los ajustes o cambios pertinentes y oportunos en el proceso de ejecución de las accionesoperativas institucionales</t>
  </si>
  <si>
    <t xml:space="preserve"> La Defensoria de la Mujer Indígenas es vinculante con el plan katun  ya que en lo referente a las acciones de atención, prevención y acciones de visibilizacion en las politicas públicas    define acciones de corto, mediano y largo plazo y simultáneamente revitaliza las lineas de trabajo y estrategias par la defensa, protección y el restablecimiento de los derechos de las mujeres indígenas mayas, garífunas y xinkas de Guatemala y  establecer si los
resultados esperados se han producido de
manera oportuna y con la calidad requerida
para atender las demandas o carencias
que le dieron origen a la intervencion, y si han
cumplido o no con esta finalidad además si  efectivamente se crearon mecanismos   de cambio en la condicion de vida de las
 mujeres indígenas.</t>
  </si>
  <si>
    <t>2008-2023</t>
  </si>
  <si>
    <t>Promover el desarrollo integral de las mujeres mayas, garífunas, xinkas y mestizas en todas las essferas de la vida económica, social, política y cultural</t>
  </si>
  <si>
    <t>Mujeres, niñas y adolescentes y para el cierre debrechas entre hombres y mujeres</t>
  </si>
  <si>
    <t>Erradicar estructuras que perjudican a las mujeres, su contenido se concentra en la generación de condiciones que garanticen sus derechos, fortalezcan sus capacidades, procuren su bienestar y eliminen prácticas que vulneren y transgredan su integridad física y emocional.                                        Generar medidas que integralmente aseguren el desarrollo de las
mujeres, niñas y adolescentes; plantea, además, mecanismos para deconstruir prácticas,
tradiciones, costumbres y normas que han vulnerado y violado los derechos de esta
población y, por consiguiente, han relegado la importancia de su rol en la sociedad.</t>
  </si>
  <si>
    <t xml:space="preserve"> La Defensoria de la  Mujer indígena    organiza su accionar mediante areas programáticas y  quienes en el marco de sus funciones realizan acciones de atención y prevención de violencia con el proposito de   tranformar la realidad   y contribuir en la disminición del ejercicio de violencia normalizada siendo los  grupos objetivos, las mujeres, niñas y adolescentes mayas, garifunas </t>
  </si>
  <si>
    <t>Política de desarrollo social y población (2002)</t>
  </si>
  <si>
    <t>Crear y promover las condiciones sociales, culturales, políticas, económicas y jurídicas que faciliten el acceso de toda la población a los beneficios del desarrollo en condiciones de igualdad y equidad de acuerdo con la dinámica y características propias de la población guatemalteca presente y futura.</t>
  </si>
  <si>
    <t xml:space="preserve">Todos los sectores de la población </t>
  </si>
  <si>
    <t>Generar condiciones de equidad e igualdad de los grupos priorizados, así como un marco de protección para su integridad y de reducción de vulnerabilidades.</t>
  </si>
  <si>
    <t xml:space="preserve">   En area sustantiva de desarrollo politico y legal proueve  mediante la agenda articulada de la Mujeres mayas, garífunas y xinkas de Guatemala promueve acciones para la visiblización e incorporación de acciones en las agendas, planes, programas y proyectos de las instancias de los organismos de  Estado.</t>
  </si>
  <si>
    <t xml:space="preserve"> 2017-2032</t>
  </si>
  <si>
    <t xml:space="preserve"> asegurar el pleno ejercicio de los derechos de esta   población y dar respuesta a las diferentes problemáticas que enfrentan los niños, niñas y adolescentes, principalmente los que viven en condiciones de pobreza y falta de oportunidades</t>
  </si>
  <si>
    <t xml:space="preserve"> niños, niñas y adolescentes,</t>
  </si>
  <si>
    <t>Al año 2032 las niñas, niños y adolescentes vivan mejor y las instituciones encargadas de brindarles protección cuenten con presupuestos para la implementación de acciones integrales que logren la plena vigencia de sus derechos y libertades.</t>
  </si>
  <si>
    <t xml:space="preserve"> La Defensoria de la  Mujer indígena   en la area  programatica de atención integral de casos brinda atencion, asesoría y acompañamiento intregal  a la niñez y adolescencia indígena, maya, garifuna y xinka  asegurando el interés superior. En las acciones de prevención de violencia, las y los niños y adolescente  constituyen  el grupo objetivo más importante  que  permita la reconstrucción de nuevas formas de vida, basada en el respeto y armonía  entre hombres y mujeres, de socialización y reflexión crítica sobre la construcción e identidades de género, de tal forma que se reconozca como ésta produce las formas de violencia que  crea desigualdades en las relaciones de poder entre hombres y mujeres y vulnera las relaciones interpersonales. </t>
  </si>
  <si>
    <t>2012-2020</t>
  </si>
  <si>
    <t>generar las intervenciones que se requieren para atender las necesidades específicas de la juventud, de tal forma que las y los jóvenes cuenten con las capacidades para ser agentes de su propio desarrollo</t>
  </si>
  <si>
    <t>juventud,</t>
  </si>
  <si>
    <t>Potenciar
las capacidades de un segmento de la población que representa alrededor del 70%
en el país,</t>
  </si>
  <si>
    <t xml:space="preserve">En las acciones de prevención de violencia coordinadas por la DEMI; la  juventud  constituye UN grupo objetivo muy importante  que  permita la reconstrucción de nuevas formas de vida, basada en el respeto y armonía  entre hombres y mujeres, de socialización y reflexión crítica sobre la construcción e identidades de género, de tal forma que se reconozca como  produce las formas de violencia que  crea desigualdades en las relaciones de poder entre hombres y mujeres y vulnera las relaciones interpersonales. </t>
  </si>
  <si>
    <t xml:space="preserve">Política Nacional de Comadronas de los Cuatro Pueblos de Guatemala </t>
  </si>
  <si>
    <t>2015-2025</t>
  </si>
  <si>
    <t>Mejorar la salud materna neonatal por medio del fortalecimiento del sistema de salud, a partir del reconocimiento y la contribución de las comadronas de los cuatro pueblos de Guatemala, con sus conocimientos y prácticas en favor de la salud materna neonatal en la comunidad, con base a un relacionamiento efectivo y respetuoso de los derechos culturales de los pueblos indígenas con el sistema de salud.</t>
  </si>
  <si>
    <t>Mejorar la salud materna neonatal comunitaria a partir del conocimiento y reconocimiento de los proveedores de salud de los saberes y prácticas de las comadronas y su articulación funcional y estructurada con el sistema de salud.</t>
  </si>
  <si>
    <t xml:space="preserve"> La Defensoría alinea acciones con la politica nacional de comadronas realizando acciones de fortalecimiento y visiblización de su acciones ante los organismos de Estado, mismas que  se desarrollan a través de  las áreas programticas de de desarrollo político y legal y  formación.</t>
  </si>
  <si>
    <t xml:space="preserve">2018-2022 </t>
  </si>
  <si>
    <t>Contribuir al desarrollo integral de niñas y adolescentes de Guatemala, mediante la reducción de embarazos en estas etapas de la vida, bajo un marco de cumplimiento de los derechos humanos.coordinar la respuesta intersectorial y establecer las líneas de acción o
intervenciones, que deberán cumplir las diferentes instancias involucradas del sector público a nivel
nacional, para disminuir el embarazo en adolescentes en el país, tomando como base las recomendaciones
sustentadas en evidencia científi ca.</t>
  </si>
  <si>
    <t>mujeres, niñas y adolescentes,</t>
  </si>
  <si>
    <t>Reducir ea cantidad de embarazos en adolescentes en Guatemala al 2022, en
un marco de respeto a los derechos humanos, que permita contribuir al desarrollo integral de las y los
adolescentes.Desarrollo de destrezas y habilidades para la vida.
 - Servicios integrales y diferenciados de salud para adolescentes según los estándares de calidad y
 Educación Integral en Sexualidad (EIS).
 - Participación juvenil, ciudadana y multisectorial con un eje transversal, que es la coordinación
 interinstitucional</t>
  </si>
  <si>
    <t xml:space="preserve">   En las acciones de prevencion de violencia la niñez y adolescencia es un  grupo meta  priorizado que conlleva la realizaciónde acciones  para  la existencia de oportunidades y medios  para el establecimiento de planes de vida de corto, mediano y largo plazo.  </t>
  </si>
  <si>
    <t xml:space="preserve">Políticas Públicas Contra la Trata de Personas y Protección Integral a las Víctimas </t>
  </si>
  <si>
    <t>2014-2024</t>
  </si>
  <si>
    <t>Armonizar y optimizar los recursos y accionar de los distintos sectores del Estado, para garantizar la protección y atención integral a las víctimas de trata de personas, así como para promover la prevención, detección, persecución y sanción de este delito.</t>
  </si>
  <si>
    <t> Garantizar la protección y atención integral a las víctimas de trata de personas, así como para promover la prevención, detección, persecución y sanción de este delito</t>
  </si>
  <si>
    <t xml:space="preserve">En cumplimiento de la presente politica la DEMI,  la DEMI dentro  de las acciones de prevención de violencia  desarrolla dentro de las distintas modalidades  de educación la tematica del Prevención del delito de trata de personas, violencia sexual y explotación  con los grupos metas priorzados. Así tambien conforma   conforma la  Comisión Interinstitucional contra la trata de personas que aglutina a  representantes de instancias del organismo ejecutivo, sociedad civil, y organismo internacional con la finalidad de armonizar  acciones contra el flajelo. Asimismo en la sedes regionales de DEMI; mediante diversas redes  de la misma forma se organizan   para realizar acciones al momendo de la identificacion de victimas así como las referidas acciones de información para la prevención. </t>
  </si>
  <si>
    <t>Política criminal democrática del Estado de Guatemala 2015-2035</t>
  </si>
  <si>
    <t>2015-2035</t>
  </si>
  <si>
    <t>Disminuir los índices de criminalidad y violencia social, mediante la implementación y creación de estrategias de prevención, investigación, sanción y reinserción social, que permita el desarrollo integral, la convivencia social armónica y seguridad ciudadana para las y los guatemaltecos. generar
articulación entre las instituciones del sector justicia y seguridad para el tratamiento de
problemáticas relacionadas con la violencia y la criminalidad. Crear  estrategias articuladas que permitan a las instituciones del sector justicia y seguridad ciudadana, el abordaje de los principales hechos de violencia y criminalidad que ocurren en el país y que afectan los bienes jurídicos</t>
  </si>
  <si>
    <t>Todos los sectores de la población</t>
  </si>
  <si>
    <t>Enfrentar de mejor manera con una estrategia regionalizada los fenómenos criminales, en los términos que prevé la Convención de Naciones Unidas contra la Delincuencia Organizada Transnacional, conocida como la Convención de Palermo y sus tres protocolos</t>
  </si>
  <si>
    <t xml:space="preserve"> La presente  política  es un referente orientados  de la  Defensoría del a Mujer Indigena  para dar respuesta a las acciones de violencia contra las mujeres indígenas mayas, garifuans y xinaks de Guatemala  y demanda rde las instancias  vinculadas con el restablecimiento de los derechos, ser garante de los los mismos.</t>
  </si>
  <si>
    <t>Política Nacional de Prevención de la Violencia y el Delito Seguridad, Ciudadana y Convivencia Pacífica 2014-2034</t>
  </si>
  <si>
    <t>2014-2034</t>
  </si>
  <si>
    <t>Asentar las bases de una cultura de prevención por convicción de la violencia y el delito, orientada a la participación de la población en el marco de la seguridad ciudadana y la convivencia pacífica, que incida en la reducción objetiva de la violencia y el delito, así como el temor de las personas a ser víctimas de la violencia</t>
  </si>
  <si>
    <t>Población guatemalteca.</t>
  </si>
  <si>
    <t>Reducir objetivamente  la violencia y el delito, así como el temor de las personas a ser víctimas de la violencia”</t>
  </si>
  <si>
    <t>LA DEMI alinea sus acciones  de conformidad con la presente politica definiendo   la realización de acciones de prevención en espacios comunitarios denominado  Implementación de la Estrategia de Prevención de Violencia contra las mujeres indígenas y su familia, "dialogo social comunitario",  para la desnaturalización de la violencia  contra las mujeres indígenas y su familia.</t>
  </si>
  <si>
    <t>Plan Nacional para la Prevención y Erradicación de laViolencia contra las Mujeres -Planovi-</t>
  </si>
  <si>
    <t>2020-2029-.</t>
  </si>
  <si>
    <t>El Planovi es un instrumento de planificación dirigido a generar gobernanza3 en lasacciones de política pública que realiza el Estado en función de la problemática de violencia contra las mujeres, niñas y adolescentes. Es un instrumento de planificación para la gestión de políticas de protección a mujeres
víctimas/sobrevivientes de VCM</t>
  </si>
  <si>
    <t>institucionalización de acciones gubernamentales para gestionar
políticas públicas destinadas a cubrir este desempeño y a dar respuesta estandarizada,
con calidad y calidez, así como especializar el seguimiento de casos. orientar sus acciones a la restitución
de los derechos humanos violentados en la niña o adolescente víctima de VCM y a
la recuperación de su proyecto de vida.</t>
  </si>
  <si>
    <t xml:space="preserve"> EL presente plan es una referente de alineacion de las acciones que la Defensoría deber realizar  relacionada la roblemática de violencia contra las mujeres, niñas y adolescentes</t>
  </si>
  <si>
    <t>Plan Nacional para la Prevención y Erradicación de la Violencia contra las Mujeres</t>
  </si>
  <si>
    <t>Plan Nacional de desarrollo K’atun: Nuestra Guatemala 2032</t>
  </si>
  <si>
    <t>Política Nacional de Promoción y Desarrollo Integral de las Mujeres 2008-
2023 (PNPDIM 2008-2023)</t>
  </si>
  <si>
    <t>Política Pública de Protección Integral de la Niñez y la Adolescencia</t>
  </si>
  <si>
    <t xml:space="preserve">Política Nacional de Juventud </t>
  </si>
  <si>
    <t>Plan de Prevención de Embarazos en Adolescentes 2018-2022 (Planea)</t>
  </si>
  <si>
    <t>X</t>
  </si>
  <si>
    <t xml:space="preserve">Mujeres indígenas en situaciones de vulnerabilidad  indefensión y discriminación en la sociedad guatemalteca </t>
  </si>
  <si>
    <t>Mujeres Indígenas y Derechos en Guatemala –Compendio Jurídico–</t>
  </si>
  <si>
    <t xml:space="preserve">Josefi na Ramos Mendoza, Ada Esperanza Silva Pérez y Nina Lucía Monje Navarro. Comisión Europea, el
Gobierno de Guatemala a través de la Comisión Presidencial Coordinadora de la Política del Ejecutivo
de Derechos Humanos –COPREDEH–, el Programa Lucha contra las Exclusiones –PLCE– y el Contrato
de Fortalecimiento Institucional –CFI– Contrato EuropeAid/123081/D/SER/GR EURADIA Internacional
SL. 2008
</t>
  </si>
  <si>
    <t>Analisis sobre los marcos juridicos nacionales e internacionales que atañen   a las mujeres indígenas , mayas, garifunas y xinkas de Guatemala.  Contienens instrumentos
normativos, tanto nacionales como internacionales, que fundamentan la formulación e implementación de nuevas políticas, programas y experiencias</t>
  </si>
  <si>
    <t>Las mujeres indígenas y sus derechos humanos en las Américas</t>
  </si>
  <si>
    <t xml:space="preserve"> Comisión Interamericana de los Derechos Humanos -CIDH 2017 </t>
  </si>
  <si>
    <t>Examinan retos y se plantea la necesidad de realizar más estudios y análisis de las violaciones de derechos humanos que enfrentan las mujeres indígenas en particular, y de las normas y los principios en materia de derechos humanos que deben guiar la respuesta de los Estados a sus preocupaciones. Este informe abarca la perspectiva de las mujeres indígenas en el análisis de las violaciones de derechos humanos que sufren, las normas en materia de derechos humanos aplicables a su realidad, y las recomendaciones de la Comisión Interamericana para los Estados Miembros de la Organización de Estados Americanos (en adelante la “OEA”) a fin de ayudarles a abordar los grandes retos que enfrentan.</t>
  </si>
  <si>
    <t>Mujeres indígenas en América Latina: dinámicas demográficas y sociales en el marco de los  derechos humanos. Centro Latinoamericano y Caribeño de
Demografía (CELADE)-División de Población
y División de Asuntos de Género de la CEPAL</t>
  </si>
  <si>
    <t>Comisión Económica para América Latina y el Caribe (CEPAL). octubre de 2013</t>
  </si>
  <si>
    <t>Informe sobre Desarrollo Humano 2015/2016</t>
  </si>
  <si>
    <t xml:space="preserve">Equipo del Informe sobre
Desarrollo Humano 2016
</t>
  </si>
  <si>
    <t>x</t>
  </si>
  <si>
    <t xml:space="preserve">La última medición de la pobreza en Guatemala, realizada en 2014, evidencia que seis de cada 10 guatemaltecos se encuentran en condición de pobreza general; ello implica que si bien logran cubrir los gastos de consumo en alimentos, no pueden cubrir la totalidad de gastos en servicios personales y del hogar. Aún más crítica es la situación cuando se observa que tres de cada 10 personas viven en condición de pobreza extrema, es decir que no son capaces de cubrir el costo del consumo mínimo de alimentos necesarios para tener una adecuada nutrición. Estos datos son alarmantes y llevan a concluir que en el país no existen las condiciones sociales y económicas mínimas para procurar el bienestar de las personas. Además, evidencian cómo el modelo económico guatemalteco es excluyente y generador de desigualdad.  </t>
  </si>
  <si>
    <t>MUJERES INDÍGENAS:nuevas protagonistas para nuevas políticas</t>
  </si>
  <si>
    <t>Centro Latinoamericano y Caribeño de Demografía (CELADE)-División de Población y la División de  Asuntos de Género de la CEPAL, en el marco del Observatorio de Igualdad de Género de América Latina y el Caribe. 2014</t>
  </si>
  <si>
    <t>aborda de manera sintética diversos ámbitos de información de las mujeres indígenas y es una contribución al seguimiento de los avances en la superación de las desigualdades que realiza el Observatorio de Igualdad de Género de América Latina y el Caribe.Se entrega un panorama regional actualizado sobre las mujeres indígenas en relación a su autonomía física, socioeconómica y en la adopción de decisiones, procurando abordar las principales dimensiones que inciden en la autonomía de las mujeres indígenas. Se analizan sus dinámicas demográficas particulares, su situación de vulnerabilidad demográfica, así como su distribución territorial y sus migraciones; análisis que pone en evidencia que a las desigualdadesn étnicas, de clase y de género se suman los riesgos que puede implicar la migración, como la ruptura de vínculos familiares, comunitarios y territoriales, y la exposición a la explotación sexual, la trata de personas y el comercio de niños y niñas. Este panorama obliga a los Estados a considerar, en sus distintas políticas, la heterogeneidad de los pueblos indígenas de la región y sus necesidades diferenciadas.</t>
  </si>
  <si>
    <t>Estrategia de seguimiento a la Convención sobre la Eliminación de Todas las Formas de Discriminación contra la Mujer (CEDAW, por sus siglas en inglés)</t>
  </si>
  <si>
    <t>SEPREM. Guatemala, septiembre de 2018</t>
  </si>
  <si>
    <t>Seprem, siguiendo un proceso de control de convencionalidad y con la finalidad de institucionalizar y dar seguimiento al marco normativo de la Convención para la Eliminación de Todas las Formas de Discriminación contra la Mujer (CEDAW, por sus siglas en inglés), ha definido una estrategia de seguimiento a la convención para el período 2018-2021.</t>
  </si>
  <si>
    <t>EL PROGRESO DE LAS MUJERES EN EL MUNDO 2019-2020, FAMILIAS EN UN
MUNDO CAMBIANTE</t>
  </si>
  <si>
    <t>ONU Mujeres 2019. Elaborado en los Estados Unidos de América</t>
  </si>
  <si>
    <t xml:space="preserve">El presente informe propone una agenda integral de políticas dirigidas a las y los principales hacedores y hacedoras de políticas, activistas, gobiernos nacionales y organismos internacionales para garantizar que todas las mujeres y niñas gocen plenamente de sus derechos humanos sin importar el modelo de familia en el que vivan.
</t>
  </si>
  <si>
    <t>El acceso  de las mujeres indígenas al sistema de justicia oficial de Guatemala Segundo Informe</t>
  </si>
  <si>
    <t>Defensoria de la Mujer Indigena , 2007</t>
  </si>
  <si>
    <t xml:space="preserve">   El presente informe temático realiza un análisis exhaustivo de la situación de las mujeres indigenas ante el sistema de justicia en Guatemala.   </t>
  </si>
  <si>
    <t xml:space="preserve"> Resultados de XII Censo Nacional de Población y VII Censo Nacional de Vivienda.censo nacional 2018</t>
  </si>
  <si>
    <t>Instituto Nacional de Estadistica INE 2018</t>
  </si>
  <si>
    <t>El presente documento proporcionar datos censales de la población generales,  por pueblos.</t>
  </si>
  <si>
    <t>Política Nacional de Promoción y Desarrollo Integral de las Mujeres 2008-
2023 (PNPDIM 2008-2023), Política pública de protección integral de la niñez y la adolescencia,  Política Nacional de Prevención de la Violencia y el Delito Seguridad, Ciudadana y Convivencia Pacífica 2014-2034, Plan Nacional para la Prevención y Erradicación de laViolencia contra las Mujeres -Planovi-</t>
  </si>
  <si>
    <t>Mujeres Indígenas beneficiadas con servicios de prevención y atención jurídica, social y psicológica,  con ello se contribuye en  la erradicación de todas las formas de violencia y discriminación en su contra</t>
  </si>
  <si>
    <t>El indicador establece un incremento en el número de personas a quienes se les ha brindado servicios de prevención y atención jurídica, social y psicológica, de manera integral como consecuencia del fortalecimiento institucional de la DEMI.</t>
  </si>
  <si>
    <t>Mujeres indígenas atendidas de manera integral, social, jurídico y psicológico y acciones de prevención de la violencia contra las mujeres indígenas, con relación a lo programado.</t>
  </si>
  <si>
    <t>Línea Base 2017</t>
  </si>
  <si>
    <t>Registros administrativos de las unidades progrmáticas  de la Defensoría de la Mujer Indgena</t>
  </si>
  <si>
    <t>Unidad Jurídica, Unidad Social, Unidad Psicológica, Unidad de Educación y Formación, Unidad de Comunicación Social, Unidad de Promoción, Desarrollo Político Legal</t>
  </si>
  <si>
    <t xml:space="preserve">Formatos preestablecidos por la unidad de planificación, monitoreo y evaluación. </t>
  </si>
  <si>
    <t xml:space="preserve">Dirección y Coordinación </t>
  </si>
  <si>
    <t xml:space="preserve">Número de documentos elaborados con relación a lo programado </t>
  </si>
  <si>
    <t xml:space="preserve"> Mujeres indígenas con servicios de atención integral </t>
  </si>
  <si>
    <t>Número de mujeres indígenas con servicios de atención jurídica, social y psicológica</t>
  </si>
  <si>
    <t xml:space="preserve">Subproducto 1: Mujeres indígenas violentadas en sus derechos reciben atencion jurídica </t>
  </si>
  <si>
    <t xml:space="preserve">Número de Mujeres indígenas violentadas en sus derechos reciben atencion jurídica </t>
  </si>
  <si>
    <t xml:space="preserve">Subproducto 2: Mujeres indígenas violentadas en sus derechos reciben atencion social </t>
  </si>
  <si>
    <t xml:space="preserve">Número de Mujeres indígenas violentadas en sus derechos reciben atencion social </t>
  </si>
  <si>
    <t>Subproducto 3: Mujeres indígenas violentadas en sus derechos reciben atencion psicológico</t>
  </si>
  <si>
    <t xml:space="preserve">Número de Mujeres indígenas violentadas en sus derechos reciben atencion psicológica </t>
  </si>
  <si>
    <t>Subproducto 4:Personas informadas y capacitadas en derechos humanos para la prevención de la violencia contra  las mujeres indígenas.</t>
  </si>
  <si>
    <t xml:space="preserve"> Número de Personas informadas y capacitadas en derechos humanos para la prevención de la violencia contra  las mujeres indígenas.</t>
  </si>
  <si>
    <t>Número de mujeres indígenas con servicio de atención integral, social, jurídico y psicológico y acciones de prevención de violencia contra las mujeres indígenas  de Guatemala.</t>
  </si>
  <si>
    <t xml:space="preserve"> La Defensoría de la Mujer Indígena no responde a ninguna meta de la política actual de Gobierno. Únicamente tiene  vinculación insitucional estratégica debido a su mandato en cuanto a la defensa, protección y restablecimiento de  derecho vulnerados.</t>
  </si>
  <si>
    <t>NOMBRE DE LA INSTITUCIÓN: Defensoría de la Mujer Indígena DEMI</t>
  </si>
  <si>
    <t>Defensoría de la Mujer Indígena,  ser una instancia rectora dentro los organismos de  Estado que  posee las facultades para dirigir, organizar, recomendar, asesorar las acciones  para la  defensa y protección  de los derechos de los mujeres mayas, garífunas y xinkas de Guatemala y por ende su desarrollo integral.</t>
  </si>
  <si>
    <t xml:space="preserve">Contruibuir en la erradicación de las formas de violencias  en contra de las mujeres indígenas </t>
  </si>
  <si>
    <t xml:space="preserve"> Ser una  institución pública rectora, fortalecida y de reconocida referencia  a nivel naciona e internacional en materia de la defensa de los derechos de las mujeres indpifgenas con pertinencia cultural </t>
  </si>
  <si>
    <r>
      <t xml:space="preserve">¿QUIÉNES SOMOS? 
</t>
    </r>
    <r>
      <rPr>
        <b/>
        <i/>
        <sz val="14"/>
        <color theme="1"/>
        <rFont val="Candara"/>
        <family val="2"/>
      </rPr>
      <t xml:space="preserve">
</t>
    </r>
  </si>
  <si>
    <t>Somos una Institución pública que defiende los derechos de las mujeres indígenas</t>
  </si>
  <si>
    <t xml:space="preserve">Tiene como fin primordial promover, defender y proteger el pleno ejercicio de los derechos de las mujeres indígenas </t>
  </si>
  <si>
    <t>1. Promovemos acciones de prevención de violencia para su desnaturalización.                               2. Realizamos acciones de atencion, asesoría, acompañamientoy gestión a mujeres indígenas víctimas/sobrevivientes de violencia y su grupo familiar.</t>
  </si>
  <si>
    <t>Promover, defender y proteger  el pleno ejercicio de los derechos  de las mujeres indígenas, para  contribuir  a la erradicación de todas las formas de violencia y discriminación en los distintos ámbitos de la sociedad guatemalteca</t>
  </si>
  <si>
    <t>Para garantizar el ejercicio pleno de los derechos de las mujeres mayas, garifunas y xinkas de Guatemala asegurando el restablecimiento de sus derechos vulnerados.</t>
  </si>
  <si>
    <t xml:space="preserve">la calidad de vida de …Para contribuir  en la erradicación de todas las formas de violencia y discriminación en contra de las mujeres indígenas en los distintos ámbitos de la sociedad guatemalteca, que  permita la tranformación de su situación y mejorar su calidad de vida. </t>
  </si>
  <si>
    <t>Solidaridad y cooperación (Pa q’uch, idioma kaqchikel ) (arumani, idioma xinca).Trabajo individual y colectivo organizado para construir, articular y apoyarse mutuamente.</t>
  </si>
  <si>
    <t xml:space="preserve"> Trabajar en equipo con personal de DEMI  con el fin de alcanzar los objetivos</t>
  </si>
  <si>
    <t xml:space="preserve"> Brindar un servicio personalizado a las usuarias  comprendiendo  que  es necesario ser sororarias  y hacer todos los esfuerzos paratranformar lsu realidad </t>
  </si>
  <si>
    <t>Respeto. (Kamelanïk, idioma kaqchikel) Reconocer y aceptar la individualidad dentro de la diversidad e identidad, para conformar la unidad.</t>
  </si>
  <si>
    <t>Formentar  el respeto hacia las difentes culturas y los pueblos</t>
  </si>
  <si>
    <t xml:space="preserve">   El respeto de la cultura  e historia de vida de las  mujeres indigenas víctimas,  es muy importante en las atencion que brinda la DEMI así también en los procesos de formación en sus distintas modalidades para la prevencion se realizan con pertinencia cultural y linguística.   </t>
  </si>
  <si>
    <t>Diálogo y consenso (Tzijonem chuqa’ k’ulb’enïk, Idioma Kaqchikel). Respaldo colectivo para la construcción de propuestas en la atención y solución de las necesidades, intereses y demandas de las mujeres indígenas mediante los mecanismos de participación, consulta, negociación, mediación y consenso, que legitiman las accione</t>
  </si>
  <si>
    <t>Formentar el diálogo entre autoridades y personal técnico, admistrativo y operativo para   que el trabajo en equipo se encamine  al alcance de resultados y metas previstas</t>
  </si>
  <si>
    <t xml:space="preserve"> La acciones a realizar con cada una de las mujeres indígenas víctimas de violencia son abordadas y consensuadas con el equipo profesional  para la tomas de decisiones.  </t>
  </si>
  <si>
    <t xml:space="preserve">Fomentar  la comunicación horizontal en todas la áreas para la construcción de buenas relaciones laborales que conlleven el alcance de los resultados institucionales </t>
  </si>
  <si>
    <t xml:space="preserve">Responsabilidad (Ruya’ik ruq’ij rub’eyal k’aslemal, Idioma Kaqchikel)Capacidad de actuar de manera correcta e integra, en el marco del  cumplimiento de las funciones de la Defensoría de la Mujer Indígena. </t>
  </si>
  <si>
    <t xml:space="preserve">De conformidad con el mandato institucional asumir con responsabilidad  las funciones de competencia con transparencia velando por el bienstar integral. </t>
  </si>
  <si>
    <t xml:space="preserve">   Fomentar  la responsabilidad recíproca en las acciones que conlleva la resolución de una problemátic;a porque es no solamente de la institución; sino también de las personas interesadas. </t>
  </si>
  <si>
    <t xml:space="preserve">Ausencia de Definición de acciones  estratégicas y de seguimiento en los diferentes niveles </t>
  </si>
  <si>
    <t xml:space="preserve">Administra su propios recursos financieros asignados </t>
  </si>
  <si>
    <t>La Demi no es reconocida como la instancia rectora de la defensa, protección, restablecimiento de los derechos de las mujeres indígenas en Guatemala. Maás bien unicamente la que atiende  las problemáticas relacionadas a la irresponsabilidad paterna y violencia contra a mujer</t>
  </si>
  <si>
    <t xml:space="preserve">Cuenta con recurso humano permanente y que habla su idioma materno (Maya, Garífuna y Xinka). </t>
  </si>
  <si>
    <t>Desactualizada la estructura organizacional de la DEMI que permita reestructurar sus acciones en la defensa promocion y restablecimiento de derecho.</t>
  </si>
  <si>
    <t xml:space="preserve">Contar con recurso humano permanente y que habla su idioma materno (Maya, Garífuna y Xinka). </t>
  </si>
  <si>
    <t>Ausencia de cobertura  geografica y lingüística a mujeres indígenas, mayas, garifunas y xinkas de Guatemala</t>
  </si>
  <si>
    <t>Creación de DEMI mediante acuerdo gubernativo</t>
  </si>
  <si>
    <t xml:space="preserve">    Existe permanente coordinación  intra e interinstitucional permanente</t>
  </si>
  <si>
    <t>Desactualización de los manuales administrativos y técnicos, reglamentos y manuales existentes</t>
  </si>
  <si>
    <t>Contar con informes cuantitativo de casos que permite visualizar que tipología y numero de acciones  se realizan alrededor de determinada problemática.</t>
  </si>
  <si>
    <t>Ausencia de manuales  para el abordaje de la Educación en prevencion en sus diversas modalidades y grupo etarios.</t>
  </si>
  <si>
    <t>Se cuenta con una agenda articulada que contiene las demandas, necesidades e intereses de las mujeres mayas, garifunas y xinkas  siendo este un instrumento de negocación y cabildeo.</t>
  </si>
  <si>
    <t xml:space="preserve">Desconocimiento  del quehacer de la DEMI, de los  Organismos del Estado así como de las organizaciones locales y de la sociedad civil. </t>
  </si>
  <si>
    <t>La DEMI cuenta con  informes temáticos que contextualizan  la condición y situación de las mujeres mayas garifunas y xinkas de Guatemala</t>
  </si>
  <si>
    <t>Ausencia de acciones politicas, cabildeo y negociacion a alto  nivel que visibilice a las mujeres mayas, garifunas y xinkas en todos los espacios</t>
  </si>
  <si>
    <t xml:space="preserve">La Defensoría cuenta con herramientas,y manuales admistrativos que apoyan el cumplimiento del mandato de DEMI </t>
  </si>
  <si>
    <t>D11</t>
  </si>
  <si>
    <t xml:space="preserve"> No contar con un instrumento de seguimiento y evaluación que permita revisar y medir los impactos el cumplimiento del Mandato de la Defensoría de la Mujer Indígena</t>
  </si>
  <si>
    <t xml:space="preserve"> En educación se cuenta con modulos de capacitacion sobre derechos y ciudadanía de las mujeres siendo una guia para las y los facilitdores a determinados grupos priorizados.</t>
  </si>
  <si>
    <t>D12</t>
  </si>
  <si>
    <t>No contar con una  linea de base tecnica  certera y objetiva que permita medir  las acciones que desarrolla la Defensoría</t>
  </si>
  <si>
    <t>F11</t>
  </si>
  <si>
    <t>La Demi se ha fortalecido organizacionalmente ya que cuenta areas programáticas sustantivas y de consolidación institucional lo que permite dar cumplimiento a las demandas  y ampliar la cobertura.</t>
  </si>
  <si>
    <t>D13</t>
  </si>
  <si>
    <t>Desinterés de elevar a politica pública acciones de concertación y de negociación, necesidades intereses de las  mujeres  indígenas y orgnazaciones de mujeres indígenas mayas, Garifunas y xinkas. Por ejemplo la agenda articulada</t>
  </si>
  <si>
    <t>D14</t>
  </si>
  <si>
    <t>La Agenda Articulada de Mujeres Mayas, Garífunas y Xinkas de Guatemala, no cuenta con una línea de base, un plan operativo, ni un sistema de monitoreo y evaluación.</t>
  </si>
  <si>
    <t>D15</t>
  </si>
  <si>
    <t xml:space="preserve">La DEMI no cuenta con un Plan de Incidencia que oriente las acciones politicas  en todos los ámbitos </t>
  </si>
  <si>
    <t>D16</t>
  </si>
  <si>
    <t xml:space="preserve">Ausencia de especialización del personal técnico y admistrativo y directivo de  la Defensoría  para que exista calidad de propuesta, representación y desarrollo de acciones </t>
  </si>
  <si>
    <t>D17</t>
  </si>
  <si>
    <t>Mujeres indígenas mayas garifunas y xinkas de Guatemala  requieren atencion, apoyo y seguimiento a sus problemáticas pero también requieren acciones derivado del inacceso a servicios básicos y a vivir libres de violencia  e integralmente mismas que no se prioriza su analisis y defición de acciones.</t>
  </si>
  <si>
    <t xml:space="preserve">Necesidad de mayor número de Recurso Humano en Atención de casos de las 13 oficinas regionales y sede central. </t>
  </si>
  <si>
    <t>D20</t>
  </si>
  <si>
    <t xml:space="preserve">Contrato corto de las Profesionales y rotación de personal </t>
  </si>
  <si>
    <t>D21</t>
  </si>
  <si>
    <t xml:space="preserve">Falta de privacidad en la atención,  </t>
  </si>
  <si>
    <t>D22</t>
  </si>
  <si>
    <t xml:space="preserve">Falta de una base de datos funcional para la atención integral de casos. </t>
  </si>
  <si>
    <t>ESTRATEGIAS FO ( potencialidades)</t>
  </si>
  <si>
    <t>Conocimiento  del personal permanente</t>
  </si>
  <si>
    <t xml:space="preserve">  Que la DEMI no sea reconocida como la instancia rectora el  defensa, protección y restablecimiento de derecho de mujeres indígenas.</t>
  </si>
  <si>
    <t xml:space="preserve">Contar con un Plan de equidad de Equidad de Oportunidades PNPDIM- Política  Nacional del Promoción y Desarrollo Integral de las Mujeres  y PEO, que permite  tener  lineamientos respecto de prevención de la violencia contra la mujer        </t>
  </si>
  <si>
    <t xml:space="preserve"> Cooperantes  interesados en fortalecer la institucionalidad de la DEMI </t>
  </si>
  <si>
    <t>El mandato institucional es amplio y   da las posibilidades de realizar acciones estratégicas</t>
  </si>
  <si>
    <t xml:space="preserve">No realice acciones políticas  estratógicas en favor de las mujeres indígenas de Guatemala </t>
  </si>
  <si>
    <t>Contar con un marco jurídico nacional e internacional a favor de las mujeres.</t>
  </si>
  <si>
    <t xml:space="preserve">Coincidencia en con el mandato de DEMI y  el plan de gobierno actual  en particular que conlleva a la continuidad de acciones de prevención de violencia contra de las mujeres indígenas </t>
  </si>
  <si>
    <t>Hay conformación de equipo multidiciplinario en DEMI</t>
  </si>
  <si>
    <t xml:space="preserve"> Instancias del Ejecutivo, judicial y legislativo  aliadas de DEMI.</t>
  </si>
  <si>
    <t xml:space="preserve">Que la DEMi este adscrita a la Presidencia de la Repúlbica de Guatemala. </t>
  </si>
  <si>
    <t xml:space="preserve">Que la DEMi  tenga oficinas regionales en catorce regiones, lo que permite llegar a mujeres indígenas sobrevivientes de violencia. </t>
  </si>
  <si>
    <t xml:space="preserve">ESTRATEGIAS FA Niveles de riesgo </t>
  </si>
  <si>
    <t>ESTRATEGIAS DA Desafíos</t>
  </si>
  <si>
    <t>Que existan demandas recurrentes y no se incremente sustancialmente el presupuesto de DEMI</t>
  </si>
  <si>
    <t xml:space="preserve"> Que se redefinan  las acciones y se reestructure el oganigrama fucional de DEMI, con la finalidad de  alcanzar los resultados integrales yde impacto  dirigido a mujeres mayas, garifunas y xinkas de Guatemala</t>
  </si>
  <si>
    <t xml:space="preserve">Se actualice la agenda articulada de las mujeres indigenas mayas, garifunas y xinkas y se eleve la misma a una politica púlbica </t>
  </si>
  <si>
    <t xml:space="preserve"> Existencia de manual de atención y procoloque permite contar con  lineamientos  para  la atención especializada de las mujeres indígenas </t>
  </si>
  <si>
    <r>
      <t>ü</t>
    </r>
    <r>
      <rPr>
        <sz val="12"/>
        <color rgb="FF7030A0"/>
        <rFont val="Times New Roman"/>
        <family val="1"/>
      </rPr>
      <t xml:space="preserve">  </t>
    </r>
    <r>
      <rPr>
        <sz val="12"/>
        <rFont val="Calibri"/>
        <family val="2"/>
      </rPr>
      <t xml:space="preserve">Se considere a la DEMI como  un ente que duplica funciones de atención si n considerar  su especialidad como ente rector en materia de Derechos Humanos de las Mujeres Indígenas. </t>
    </r>
  </si>
  <si>
    <r>
      <t>ü</t>
    </r>
    <r>
      <rPr>
        <sz val="12"/>
        <rFont val="Times New Roman"/>
        <family val="1"/>
      </rPr>
      <t xml:space="preserve">   </t>
    </r>
    <r>
      <rPr>
        <sz val="12"/>
        <rFont val="Calibri"/>
        <family val="2"/>
      </rPr>
      <t>No se reflejan todas las actividades conexas en la Dirección Técnica del Presupuesto ya que los campos varían y no se comprende la complejidad que conlleva la atención de la problemática de la usuaria, lo que lleva a invisibilizar todas las acciones alrededor de un caso concreto.</t>
    </r>
  </si>
  <si>
    <r>
      <t>ü</t>
    </r>
    <r>
      <rPr>
        <sz val="12"/>
        <rFont val="Times New Roman"/>
        <family val="1"/>
      </rPr>
      <t xml:space="preserve">   </t>
    </r>
    <r>
      <rPr>
        <sz val="12"/>
        <rFont val="Calibri"/>
        <family val="2"/>
      </rPr>
      <t>Mayor demanda de mujeres indígenas  pero escaso recurso humano   sin compromiso, expencia y conocimiento.</t>
    </r>
  </si>
  <si>
    <r>
      <t>D</t>
    </r>
    <r>
      <rPr>
        <sz val="12"/>
        <color theme="1"/>
        <rFont val="Calibri"/>
        <family val="2"/>
      </rPr>
      <t>erogación y/o modificación del acuerdo Gubernativo de DEMI</t>
    </r>
  </si>
  <si>
    <t xml:space="preserve">Es la única entidad que promueve, protege y defiende los derechos de las mujeres indígenas a nivel nacional y que es una institución instalada y constituida legalmente. </t>
  </si>
  <si>
    <t>En cuanto a la atencion, asesoría, acompañamiento y gestión social a mujeres mayas  garifunas y xinkas la Defensoría cuenta con unidades de atención social, jurídica y psicológica  con  personal profesional  especializado y plurilingüe.</t>
  </si>
  <si>
    <t xml:space="preserve">  Insuficiente presupuesto para la realización de acciones  para la defensa, protección y restablecimiento de los derechos de las mujeres indígenas, mayas garífunas y xinkas de Guatemala. </t>
  </si>
  <si>
    <t>  Contar con el reconocimiento de las instancias operadoras de justicia, instancias gubernamentales y no gubernamentales  en la atención a mujeres indígenas</t>
  </si>
  <si>
    <t xml:space="preserve">Que en corto o mediano plazo se  considere la disolución del acuerdo gubernativo de DEMI o se adhiera a otra instancia </t>
  </si>
  <si>
    <t xml:space="preserve"> Que la DEMi, se encamine de una acuerdo gubernativo a un decreto legislativo </t>
  </si>
  <si>
    <t xml:space="preserve">ESTRATEGIAS DO (Limitaciones) </t>
  </si>
  <si>
    <t xml:space="preserve">Que la DEMi este adscrita a la Presidencia de la República de Guatemala. </t>
  </si>
  <si>
    <t>Que la DEMI  tenga el estatus de  rectora y asesora de las acciones políticas y de defensa de derechos de las mujeres  mayas garífunas y xinkas de Guatemala</t>
  </si>
  <si>
    <t>Que continúe   siendo la instancia que atiende casos/ problemáticas de mujeres indegenas.</t>
  </si>
  <si>
    <t xml:space="preserve">Que  el personal no cuente  con procesos permanentes de fortalecimiento académico y personal que fortalezca el cumplimiento de sus funciones </t>
  </si>
  <si>
    <t>INSTITUCIÓN: Defensoría a de la Mujer  Indígena DEMI</t>
  </si>
  <si>
    <t xml:space="preserve"> Secretaría Privada de la Presidencia de la República de Guatemala </t>
  </si>
  <si>
    <t>Fcilitar acciones administrativas y técnicas para  el fortalecimiento de la institución en materia de fortalecimiento humano.</t>
  </si>
  <si>
    <t xml:space="preserve">Nacional </t>
  </si>
  <si>
    <t>Presidencia de la RepÚblica de Guatemala</t>
  </si>
  <si>
    <t>Jusnta Coordinadora de DEMI</t>
  </si>
  <si>
    <t>Respaldar las acciones  de  corto y mediano plazo, programads por la DEMI</t>
  </si>
  <si>
    <t xml:space="preserve">Instancias del Organismo Ejecutivo </t>
  </si>
  <si>
    <t>Técnico</t>
  </si>
  <si>
    <t>Coordinación técnicas, administrativas y de atencion a mujeres indígenas mayas, garifunas y xinkas de Guatemala.</t>
  </si>
  <si>
    <t>Orgnanizaciones de la sociedad civil</t>
  </si>
  <si>
    <t xml:space="preserve"> La articulación con las sociedad civil,/organizaciones de mujeres y mujeres indígenas permite lograr la armonización de acciones.  </t>
  </si>
  <si>
    <t xml:space="preserve">Departamental. </t>
  </si>
  <si>
    <t xml:space="preserve">Líderes y liedezas </t>
  </si>
  <si>
    <t xml:space="preserve">el liderazgo en guatemala constituye    el repaldo politico y comunitario y el enlace con los terriotorios </t>
  </si>
  <si>
    <t xml:space="preserve">Oganismo legislativo  </t>
  </si>
  <si>
    <t>Político</t>
  </si>
  <si>
    <t>Respaldo politico  en el accionar institucional</t>
  </si>
  <si>
    <t xml:space="preserve">Orgnaismo Judicial </t>
  </si>
  <si>
    <t xml:space="preserve">Técnico, legales </t>
  </si>
  <si>
    <t>Nacional/ departalmental</t>
  </si>
  <si>
    <t>Personal de DEMI</t>
  </si>
  <si>
    <t xml:space="preserve">Nacional, Departamental </t>
  </si>
  <si>
    <t xml:space="preserve">Político </t>
  </si>
  <si>
    <t xml:space="preserve">Tecnico, operativos, logísticos, directivos </t>
  </si>
  <si>
    <t xml:space="preserve"> Proteger  y restablecer los derechos violentados de las mujeres  mayas, garífunas y xinkas de Guatemala </t>
  </si>
  <si>
    <t>Desarrollar las acciones en el  marco de sus funciones  para la defensa, protección y restablecimiento de derechos de las mujeres indígenas de Guatemala</t>
  </si>
  <si>
    <t xml:space="preserve">Proporcionar el respaldo político en la realización de acciones en favor de las mujeres mayas, garífunas y xinkas de Guatemala </t>
  </si>
  <si>
    <t>Para el 2021, se ha incrementado en un 7.45 % el número de Mujeres Indígenas que reciben servicios de prevención y atención jurídica, social y psicológica, para contribuir a la erradicación de todas las formas de violencia y discriminación en su contra de conformidad con el Eje 7 de la Agenda Articulada de mujeres mayas, garífunas y Xinkas de Guatemala</t>
  </si>
  <si>
    <t xml:space="preserve">Mujeres Indígenas beneficiadas con servicios de prevención y atención jurídica, social y psicológica, para contribuir a la erradicación de todas las formas de violencia y discriminación en su contra </t>
  </si>
  <si>
    <t>Mujeres indígenas atendidas de manera integral, social, jurídico y psicológico y acciones de prevención de la violencia en su contra con relación a lo programado</t>
  </si>
  <si>
    <t xml:space="preserve">Estado Responsable, transparente y efectivo </t>
  </si>
  <si>
    <t>Impulsar el mejoramiento del servicio civil, la meritocracia, la transparencia, el control y la rendición de cuentas.</t>
  </si>
  <si>
    <t xml:space="preserve">Crear un sistema nacional que promueva los  principios y valores de la transparencia y la ética pública; mejorar la imagen de los funcionarios y las instituciones públicas.  </t>
  </si>
  <si>
    <t xml:space="preserve">Sin meta </t>
  </si>
  <si>
    <t>n/a</t>
  </si>
  <si>
    <t xml:space="preserve">Gobernabilidad y seguridad en desarrollo </t>
  </si>
  <si>
    <t xml:space="preserve">Propiciar la disminución de la comisión de delitos mediante programas de prevención e instancias de resolución de conflictos </t>
  </si>
  <si>
    <t xml:space="preserve">Impulsar una estrategia para la prevención de la violencia sexual y eliminación de todas las formas de violencia contra todas las mujeres y las niñas en los ámbitos público y privado, incluidas la trata y explotación sexual y otros tipos de explotación. </t>
  </si>
  <si>
    <t xml:space="preserve">Para el 2024 se ha disminuido la violencia intrafamiliar en 20 puntos porcentuales  (De 84% de casos en 2019 a 64% en 2024)  MINGOB.  </t>
  </si>
  <si>
    <t>s/r</t>
  </si>
  <si>
    <t>Para el 2024 se ha disminuido la violencia intrafamiliar en 20 puntos porcentuales  (De 84% de casos en 2019 a 64% en 2024)  MINGOB</t>
  </si>
  <si>
    <t>Para eñ 2021. se ha incrementado el número de mujeres indígenas beneficiadas con servicios de prevención y atención jurídica, social y psicológica  en un 7.4% (10,799 a 11;582 en 2021)</t>
  </si>
  <si>
    <t>Gobernabilidad y seguridad en desarrollo</t>
  </si>
  <si>
    <t>Impulsar el mejoramiento del servicio civil, la meritocracia, la transparencia, el control y la rendición de cuentas</t>
  </si>
  <si>
    <t xml:space="preserve">Crear un sistema nacional que promueva los  principios y valores de la transparencia y la ética pública; mejorar la imagen de los funcionarios y las instituciones públicas. </t>
  </si>
  <si>
    <t xml:space="preserve">VINCULACIÓN INSTITUCIONAL </t>
  </si>
  <si>
    <r>
      <rPr>
        <b/>
        <sz val="12"/>
        <color indexed="8"/>
        <rFont val="Calibri"/>
        <family val="2"/>
      </rPr>
      <t>Resultado Institucional:</t>
    </r>
    <r>
      <rPr>
        <sz val="12"/>
        <color indexed="8"/>
        <rFont val="Calibri"/>
        <family val="2"/>
      </rPr>
      <t xml:space="preserve"> Para el 2021, se ha incrementado el número de Mujeres Indígenas beneficiadas con servicios de prevención y atención jurídica, social y psicológica en un 7.4% </t>
    </r>
  </si>
  <si>
    <t>Pilar PGG</t>
  </si>
  <si>
    <t xml:space="preserve">Objetivo Sectorial PGG </t>
  </si>
  <si>
    <t xml:space="preserve">Acción PGG  </t>
  </si>
  <si>
    <t xml:space="preserve">Meta PGG </t>
  </si>
  <si>
    <t>RED (Resultados Estratégicos de Desarrollo)</t>
  </si>
  <si>
    <t>Eje K’atun</t>
  </si>
  <si>
    <t>ODS</t>
  </si>
  <si>
    <t>Meta ODS</t>
  </si>
  <si>
    <t>Estado como Garante de los Derechos Humanos y Conductor del Desarrollo</t>
  </si>
  <si>
    <t>ODS16 Promover sociedades pacíficas e inclusivas para el desarrollo sostenible, facilitar el acceso a la justicia para todos y crear instituciones eficaces, responsables e inclusivas a todos los niveles</t>
  </si>
  <si>
    <t xml:space="preserve">Meta 16.6 Crear instituciones eficaces, responsables y transparentes a todos los niveles </t>
  </si>
  <si>
    <t>ODS 5 Lograr la igualdad de género y empoderar a las mujeras y niñas</t>
  </si>
  <si>
    <t xml:space="preserve">Meta 5.1  Poner fin a todas las formas de discriminación contra todas las mujeres y las niñas en todo el mundo
</t>
  </si>
  <si>
    <t>Meta 5.2 Eliminar todas las formas de violencia contra todas las mujeres y las niñas en los ámbitos público y privado, incluidas la trata y la explotación sexual y otros tipos de explotación</t>
  </si>
  <si>
    <t>ODS16: Promover sociedades pacíficas e inclusivas para el desarrollo sostenible, facilitar el acceso a la justicia para todos y crear instituciones eficaces, responsables e inclusivas a todos los niveles</t>
  </si>
  <si>
    <t>Meta 16.1 Reducir considerablemente todas las formas de violencia y las tasas de mortalidad conexas</t>
  </si>
  <si>
    <t>Con Enfoque de Género</t>
  </si>
  <si>
    <t>Producto 2: MUJERES INDÍGENAS CON SERVICIOS DE ATENCIÓN INTEGRAL</t>
  </si>
  <si>
    <t>Sub-producto 1: Mujeres indígenas violentadas en sus derechos, reciben atención jurídica</t>
  </si>
  <si>
    <t>Sub-producto 2: Mujeres indígenas violentadas en sus derechos, reciben atención social</t>
  </si>
  <si>
    <t>Sub-producto 3: Mujeres indígenas violentadas en sus derechos, reciben atención psicológica</t>
  </si>
  <si>
    <t>Sub producto 4: Personas informadas y capacitadas en  Derechos Humanos para la prevención de la violencia contra las mujeres indígenas.</t>
  </si>
  <si>
    <t>4,515.610.00</t>
  </si>
  <si>
    <t>3,777.322.00</t>
  </si>
  <si>
    <t xml:space="preserve">Codigo de presentacion </t>
  </si>
  <si>
    <t xml:space="preserve">Sin presentacion </t>
  </si>
  <si>
    <t>|</t>
  </si>
  <si>
    <t>Mmes</t>
  </si>
  <si>
    <r>
      <t xml:space="preserve">Acción 6: </t>
    </r>
    <r>
      <rPr>
        <sz val="11"/>
        <color theme="1"/>
        <rFont val="Candara"/>
        <family val="2"/>
      </rPr>
      <t>Sesiones ordinarias y extraordinarias de la junta coordinadora de la Defensorìa de la Mujer Indìgena. Según articulo 6 del acuerdo gubernativo 525-99 y sus reformas.</t>
    </r>
  </si>
  <si>
    <r>
      <rPr>
        <b/>
        <sz val="11"/>
        <color theme="1"/>
        <rFont val="Candara"/>
        <family val="2"/>
      </rPr>
      <t>Acción 2.</t>
    </r>
    <r>
      <rPr>
        <sz val="11"/>
        <color theme="1"/>
        <rFont val="Candara"/>
        <family val="2"/>
      </rPr>
      <t xml:space="preserve"> Reunión de trabajo en sesion ordinaria con el consejo consultivo de la Defensoría de la Mujer Indígena, según articulo 7 del acuerdo gubernativo 525-99 </t>
    </r>
  </si>
  <si>
    <t xml:space="preserve">1.  La pobreza  multidimensional que se manifiesta por la deficiencia en el estado de la salud de las mujeres indígenas, el bajo nivel de educacion, y el bajo nivel en la calidad de vida.     </t>
  </si>
  <si>
    <t>2.  La desigualdad económica, social y de género.</t>
  </si>
  <si>
    <t xml:space="preserve">Mujeres Indígenas de Guatemala entre 7-80 años. </t>
  </si>
  <si>
    <t xml:space="preserve">Mujeres mayas, garífunas y xinkas de Guatemala comprendidas entre 7-80 años quienes pueden estar en  situación y condición de vulnerabilidad, indefensión y discriminación en la sociedad guatemalteca debido a la pobreza y  la desigualdad  económica y social. </t>
  </si>
  <si>
    <t xml:space="preserve">Mujeres mayas, garifunas y xinkas de Guatemala  comprendidas entre 7-80 años que son vulneradas y violentadas en sus derechos, debido a la pobreza y la desigualdad económica y social que existe en el país y que afecta mayormente a la población indígena por la exclusión histórica de la que han sido parte.   La DEMI realiza acciones en catorce regiones a nivel nacional, pero se espera que en el futuro pueda tener presencia en todo el país, tomando en cuenta que los hechos de violencia y discriminación contra las mujeres indígenas es generalizado.  </t>
  </si>
  <si>
    <t xml:space="preserve">La Defensoría  de la Mujer Indigena realiza acciones en  las siguientes regiones:      Huehuetenango, Quetzaltenango, San Marcos, Totonicapán,   Sololá, El Quiché, Suchitepéquez,  Chimaltenango, Santa Rosa, Izabal, Petén, Alta Verapaz, Baja Verapaz y Ciudad de Guatemala. </t>
  </si>
  <si>
    <t>Los municipios que forman parte de las regiones donde la DEMI realiza sus acciones.</t>
  </si>
  <si>
    <t xml:space="preserve">Posicionar a la DEMI en los 22 departamentos del país fortaleciendo  el recurso humano técnico, administrativo y financiero en los próximos cinco años.  </t>
  </si>
  <si>
    <t>Acceso a la justicia para las mujeresindígenas en América Latina</t>
  </si>
  <si>
    <t>Rachel Sieder y María Teresa Sierra. WP 2011: 2</t>
  </si>
  <si>
    <t>Este documento de trabajo considera el impacto de  procesos de reconocimiento y en términos más generales de la pluralidad legal, sobre lass principales barreras de acceso a la justicia y  al pleno ejercicio de sus derechos para las mujeres en los sistemas de justicia estatales y no-estatales, al tiempo que se ponen de relieve los esfuerzos de las indígenas para hacer cumplir sus derechos y hacer frente a la discriminación de probabilidades de que las mujeres indígenas adquieran mayor acceso a la justicia. Se toma en cuenta género en una gama de situaciones.</t>
  </si>
  <si>
    <t>Mujeres indígenas en contextoCovid-19 ¿Cómo les impacta?</t>
  </si>
  <si>
    <t>Material elaborado por las oficinas de ONU Mujeres y UNESCO México</t>
  </si>
  <si>
    <t>Reconocer el impacto de Covid-19 en las mujeres y niñas, identificando sus necesidades, es centralpara fortalecer los esfuerzos de mitigación y recuperación, así como para asegurar una respuestaefectiva que garantice sus derechos. En el caso de las mujeres y niñas indígenas, la intersección de múltiples desigualdades hacen que estén en condiciones particularmente difíciles, que se agravan ante desastres y emergencias.</t>
  </si>
  <si>
    <t>ACCESO DE LASDE LAS
MUJERES INDÍGENAS A LA TIERRA, EL TERRITORIO
Y LOS RECURSOS NATURALES EN
AMÉRICA LATINA Y EL CARIBE</t>
  </si>
  <si>
    <t>IRMA A. VELÁSQUEZ NIMATUJ PH.D.Octubre 2018</t>
  </si>
  <si>
    <t>MUJER INDÍGENA Y GOBERNABILIDAD EN GUATEMALA</t>
  </si>
  <si>
    <t>Fundación Canadiense para las Américas (FOCAL)Meeylyn Lorena Mejia Lopez. Marzo de 2006</t>
  </si>
  <si>
    <t xml:space="preserve">
El presente informe de investigación ofrece un análisis del proceso histórico y de las condiciones que los pueblos indígenas, y en particular las mujeres indígenas, enfrentan sistemáticamente para participar en los diferentes niveles de la sociedad, pero especialmente en los procesos políticos del país.</t>
  </si>
  <si>
    <t>Informe nacional del Estado de Guatemala. Informe de País Beijing +20 relativo a la aplicación de la Declaración y Plataforma de Acción
Mundial de Bejín y de las Recomendaciones del Vigésimo tercer periodo Extraordinario de
sesiones de la Asamblea General (2000)</t>
  </si>
  <si>
    <t xml:space="preserve">Gobierno de Guatemala. División de Asuntos de Género de la CEPAL camino a Beijing+20.  Naciones Unidas CEPAL. Junio 2014 </t>
  </si>
  <si>
    <t>LUCES Y SOMBRAS EN LA LUCHA CONTRA LA DISCRIMINACIÓN RACIAL, ÉTNICA Y DE GÉNERO EN
GUATEMALA</t>
  </si>
  <si>
    <t>Defensoría de la Mujer Indígena (DEMI); Comisión Presidencial contra el Racismo y la Discriminación contra los
Pueblos Indígenas de Guatemala (CODISRA);Oficina del Alto Comisionado de las Naciones Unidas
para los Derechos Humanos (OACNUDH).Guatemala, diciembre 2010</t>
  </si>
  <si>
    <t>El informe enfoca la situación jurídica y social de las víctimas y con base en testimonios de
quienes han denunciado situaciones de discriminación, da cuenta de diversas situaciones
que las víctimas enfrentan al solicitar justicia por agravios recibidos. Con este estudio
se espera contribuir a la adopción de medidas para prevenir, sancionar y erradicar la
discriminación, así como promover la creación de mecanismos de atención y reparación
a las víctimas.</t>
  </si>
  <si>
    <t>Mujeres indígenas contra la impunidad. Un desafío a la discriminación en el sistema legal de Guatemala</t>
  </si>
  <si>
    <t xml:space="preserve">Oxfam. Mujeres indígenas contra la impunidad
Alzar la voz, Contribuciones del Programa,
Oxfam GB. Noviembre de 2008. </t>
  </si>
  <si>
    <t>Analiza la manera en que las personas indígenas están utilizando sus propios sistemas tradicionales de justicia para luchar contra los abusos de derechos y la cultura de impunidad, pero garantizando al mismo tiempo que los casos sean juzgados en el sistema judicial estatal y ante los tribunales.</t>
  </si>
  <si>
    <t>MUJERES INDÍGENAS Y POLÍTICA
“QUISE VOZ, PORQUE
LAS MUJERES INDÍGENAS
NO TENÍAN VOCES”</t>
  </si>
  <si>
    <t>Entidad de las Naciones Unidas para la Igualdad de Género y el
Empoderamiento de las Mujeres, ONU Mujeres. PARAGUAY, 2019</t>
  </si>
  <si>
    <t>Contribuye a identificar la cosmovisión de las mujeres indígenas sobre la política, las trayectorias, metas y motivaciones que las llevan a ser candidatas o a su activación en la política, sus ideas sobre la participación y la representación en este ámbito. Asimismo, sobre los obstáculos y los factores facilitadores para su acceso, desempeño y
permanencia en la política, y las relaciones y dinámicas de poder que se desarrollan en los sectores políticos en los cuales se candidatan y en sus comunidades de pertenencia.</t>
  </si>
  <si>
    <t>Perfil de salud de los pueblos
indígenas de Guatemala</t>
  </si>
  <si>
    <t>Organización Panamericana de la Salud/Organización Mundial de la salud (OPS/OMS) en Guatemala. Guatemala, 2016</t>
  </si>
  <si>
    <t>Se considera de vital importancia conocer el perfil de salud y vida de los pueblos indígenas en
Guatemala, su ubicación en el territorio nacional, su estructura poblacional, el tipo de asentamientos
en que viven, sus tradiciones y cultura, así como sus niveles de educación; para coadyuvar en
el proceso de salud y desarrollo. El presente documento pretende integrar y sistematizar alguna de la información dispersa que
existe en el país acerca de los problemas de salud y vida que enfrentan los pueblos indígenas y está
basado en la revisión y análisis de diverso material bibliográfico, información estadística y reportes
de investigación sobre el tema.</t>
  </si>
  <si>
    <t xml:space="preserve">Perfil de las Mujeres, Mayas, Garífunas y Xinkas.  Desigualdades y Brechas del Desarrollo Humano </t>
  </si>
  <si>
    <t>La Defensoría de la Mujer Indígena –DEMI- y Fondo de
Población de las Naciones Unidas, UNFPA, 2017</t>
  </si>
  <si>
    <t>Se realiza un análisis sobre la situación de las mujeres indígenas partiendo desde el enfoque de desarrollo humano. Las principales dimensiones del desarrollo humano, vida larga y saludable, conocimiento y nivel de vida digno, son necesarias para lograr una mejora directa de las capacidades humanas. Además, para crear las condiciones necesarias para el desarrollo humano es importante la participación en la vida política y comunitaria de la población, la sostenibilidad del medio ambiente, la seguridad humana y derechos
humanos, y la promoción de la igualdad y la justicia social.Se hace un análisis del nivel educativo de la población, desagregando por grupo de edad
para cada nivel. Para medir el nivel de vida larga y saludable, se examina el acceso de la población a los distintos servicios de salud al momento
de una enfermedad o un accidente, así como el acceso a la Salud Sexual y Reproductiva, y para poder estimar el nivel de vida digno, se analizan los principales indicadores del mercado laboral.</t>
  </si>
  <si>
    <t>Estudio sobre racismo,
discriminación y brechas
de desigualdad en Guatemala</t>
  </si>
  <si>
    <t>Programa de cooperación técnica de la Sede Subregional de la Comisión Económica para América Latina y el Caribe
(CEPAL) en México con la Comisión Presidencial contra la Discriminación y el Racismo contra los Pueblos Indígenas
en Guatemala (CODISRA).Wilson Romero
Ana Patricia Orantes
con la colaboración de Samuel Zapil. Naciones Unidas, noviembre de 2018</t>
  </si>
  <si>
    <t>El objetivo de este estudio es visibilizar la desigualdad social que resulta del racismo y la
discriminación racial, y recomendar contenidos de política pública que permitan ir avanzando
en los caminos hacia la igualdad social promoviendo a la vez la diversidad cultural.analizar, valorar y medir los efectos de la discriminación racial y el
racismo en la reproducción y profundización de la desigualdad estructural que afecta a los
pueblos indígenas en el país</t>
  </si>
  <si>
    <t>Segundo Informe Temático Ukab’ wuj ke ixoqib’ “Acceso de las Mujeres
indígenas al Sistema de Justicia Ofi cial de
Guatemala”</t>
  </si>
  <si>
    <t>Defensoría de la Mujer Indígena (DEMI).Guatemala, 2007</t>
  </si>
  <si>
    <t>El presente informe  tiene por objeto caracterizar y analizar los problemas de acceso a la justicia que enfrentan las mujeres indígenas, a fi n de generar líneas de acción específicas que fortalezcan los procesos de políticas institucionales y estatales que nos conduzcan en el camino de la justicia, de
la equidad de género y de la democracia
multicultural.describe la
problemática y situación de las mujeres
indígenas y presenta recomendaciones
sobre los diferentes servicios que les
proporciona el Estado y sobre la equidad
étnica y de género en las políticas
públicas. El Informe establece que el
sistema de justicia estatal no responde a
la diversidad cultural, que su cobertura es
insufi ciente y que no ha incorporado aún
plenamente los marcos internacionales
de protección de derechos humanos:</t>
  </si>
  <si>
    <t>Violencia contra las mujeres indígenas en Guatemala</t>
  </si>
  <si>
    <t xml:space="preserve"> Oficina del Alto Comisionado para los Derechos Humanos. Proyecto Promoción y Protección de los Derechos de los
Pueblos Indígenas en México y Guatemala. Guatemala, noviembre de 2007</t>
  </si>
  <si>
    <t>presente estudio sobre “Violencia contra las mujeres indígenas en Guatemala”, constituye un esfuerzo de síntesis basado en una investigación bibliográfica y documental sobre el tema y en la narración vivencial de mujeres indígenas sobrevivientes de violencia, que acudieron a los talleres realizados en las sedes regionales de la Defensoría de la Mujer Indígena (DEMI), los meses de agosto y septiembre del año 2007.
La revisión documental permitió constatar que existe carencia de información escrita relacionada con la historia de las mujeres indígenas en Guatemala, revelando el proceso de invisibilización y de inexistencia de registros sobre el tema en la historia nacional. Esta situación también denota una vez más que la historia de los pueblos ha estado marcada por la cultura patriarcal imperante.</t>
  </si>
  <si>
    <t>LAS MUJERES INDÍGENAS
Y LA ECONOMÍA. Contribución No Remunerada de las Mujeres Indígenas a la Economía Familiar y Comunitaria en el Perú y en Guatemala</t>
  </si>
  <si>
    <t>CHIRAPAQ Centro de Culturas Indígenas del Perú. Lima, agosto de 2015</t>
  </si>
  <si>
    <t>Presenta el esfuerzo
que día a día despliegan las mujeres indígenas para sacar adelante a sus familias y
comunidades, y que sin saberlo, ni ser reconocidas, ni suficientemente valoradas,
contribuyen también a dinamizar sus respectivas economías nacionales</t>
  </si>
  <si>
    <t>Índice de Pobreza Multidimensional de Guatemala (IPM-Gt)</t>
  </si>
  <si>
    <t>Ministerio de Desarrollo Social. Nueva Guatemala de la Asunción, 10 de Diciembre de 2018</t>
  </si>
  <si>
    <t>Informe de la Oficina del Alto Comisionado
de las Naciones Unidas para los Derechos Humanos sobre las actividades de la O</t>
  </si>
  <si>
    <t>Oficina del Alto Comisionado
en Guatemala. Informe anual del Alto Comisionado de las Naciones Unidas
para los Derechos Humanos e informes de la Oficina del Alto Comisionado y del Secretario General28 de enero de 2019</t>
  </si>
  <si>
    <t>El presente informe, la Alta Comisionada de las Naciones Unidas para los Derechos
Humanos describe la situación de los derechos humanos y las actividades de la
Oficina del Alto Comisionado de las Naciones Unidas para los Derechos Humanos en
Guatemala del 1 de enero al 31 de diciembre de 2018. Destaca los avances y desafíos, con enfoque en temas relacionados con justicia, seguridad, la situación de defensoras y defensores de derechos humanos, periodistas, pueblos indígenas, afrodescendientes, mujeres, personas lesbianas, gais, bisexuales y transgénero, personas con discapacidad  y migrantes, y derechos económicos, sociales y culturales. La Alta Comisionada describe las actividades de la Oficina y concluye con una serie de recomendaciones a varias instituciones del Estado y otros interesados.</t>
  </si>
  <si>
    <t>Renta básica universal:
Más libertad, más igualdad,
más empleo, más bienestar.
Una propuesta para Guatemala
(2019-2030)</t>
  </si>
  <si>
    <t>Instituto Centroamericano de Estudios Fiscales (Icefi). Guatemala, Centroamérica, noviembre de 2017</t>
  </si>
  <si>
    <t xml:space="preserve"> El presente estudio hace un estufio profundo respecto de  la desigualdad social en Guatemala. Presenta el impacto que tendría en Guatemala, en los próximos doce años, la implementación de un programa de renta básica universal (RBU) destinado a eliminar la pobreza extrema y reducir la desigualdad, es decir, una política pública que consiste en un monto de Q175.0 mensuales que el Estado daría cada
mes a todos los ciudadanos o residentes en el territorio nacional, independientemente del ingreso que cada quien pueda tener, así como de su situación personal, familiar o laboral.</t>
  </si>
  <si>
    <t xml:space="preserve"> Entre el suelo y el Cielo. Radiografía multidimensional de la desigualdad en Guatemala </t>
  </si>
  <si>
    <t xml:space="preserve"> Susanne  Gauster Oxfam Guatemala, Wilson Romero IDIES/URL, Carlos Boltella Oxfam Intermón, Ana María Méndez Oxfam Guatemala, Andrea Costrafrada y Alex Prants Oxfam Intermón, Enrique Naveda. Documento basado en un  un informe de consultoría de Karin Slowing , Aldo Soto y Raúl Bolaños. OXFAM GUATEMALA.  Marzo 2019 </t>
  </si>
  <si>
    <t>EL presente documento proporciona aportes a poscoinar en la agenda del debate nacional  la temática de la desigualdad  y a diseñar posibles medidas para la su solución que  debe iniciar reconociendo la importante del abordaje de este problemas social.</t>
  </si>
  <si>
    <t>constituye una herramienta fundamental para el diseño y el seguimiento de políticas de igualdad y para la promoción de los derechos humanos. De allí que la demanda por visibilizar a las mujeres y los pueblos indígenas sea un reclamo recurrente en la región, tanto de parte de los Estados como de las propias organizaciones de mujeres indígenas</t>
  </si>
  <si>
    <t>El documento inicia con reconocer los logros alcanzados en relación a la promoción de la igualdad entre los
géneros y el empoderamiento de las mujeres, tomando como referencia la fecha de aprobación de la Declaración y Plataforma de Acción de Beijing y el informe del Vigésimo Tercer Periodo Extraordinario de
Sesiones de la Asamblea General. Declaración que el Estado de Guatemala firmó, comprometiéndose a dar cumplimiento a los acuerdos establecidos.el informe se describe la normativa jurídica que específicamente regula los derechos humanos de las mujeres, y, que es el referente para las acciones estratégicas, políticas y operativas que de las mismas se derivan. Dentro de estas acciones se incluyen las decisiones políticas que dan vida a la institucionalidad creada por el Estado para el adelanto de la mujer en Guatemala.</t>
  </si>
  <si>
    <t>La tierra, los territorios y los recursos naturales (TTR) guardan significados especiales para las
mujeres indígenas en Abya Yala1 y también, alrededor del mundo. Representan la convivencia del ser humano con la Madre Naturaleza o la Pachamama2, que es la vida misma de la tierra, el agua, los bosques, las plantas, los animales y todos los componentes de los hábitats y ecosistemas. La
relación entre las mujeres indígenas y el territorio se basa en respetar la vida, en cuidarla y alimentarla para que ella, con reciprocidad, cuide y alimente a las generaciones actuales. Existe una conexión de responsabilidad entre las mujeres, los ancestros y las generaciones venideras.
La tierra, en pocas palabras, es asumida como sagrada. En el trabajo con las mujeres indígenas se observa que ellas mantienen un apego a la tierra
y al territorio por la importancia que estos tienen en sus estructuras de gobernanza, identidad,
pertenencia a un pueblo diferenciado, desarrollo de la cosmovisión y espiritualidad.</t>
  </si>
  <si>
    <t xml:space="preserve">El presente documento  mediante un proceso de consultas y discusiones con distintos actores
gubernamentales y no gubernamentales que se llevó a cabo entre el mes de
junio 2017 y septiembre 2018.  define Índice de Pobreza Multidimensional de Guatemala (IPM-Gt) y describe la composición de la pobreza a nivel rural, urbano, regional y pertenencia étnica.Los resultados revelan que en Guatemala 61.6 por ciento de las personas
(I.C.95% 58.6-64.7) viven en pobreza multidimensional, es decir, seis de cada
10 guatemaltecos enfrentan privaciones en el 30 por ciento o más de los
indicadores ponderados incluidos en el IPM-Gt. La intensidad de la pobreza (A)
estimada para 2014 fue de 48.6 por ciento (I.C.95% 47.5-49.7), esto refleja que
las personas multidimensionalmente pobres en promedio están privadas en
casi la mitad de los indicadores ponderados del IPM-Gt. </t>
  </si>
  <si>
    <t>Institución : Defensoría de la Mujer Indígena</t>
  </si>
  <si>
    <t xml:space="preserve">Mujeres indígenas en situaciones de vulnerabilidad  indefension y discriminación. </t>
  </si>
  <si>
    <r>
      <rPr>
        <b/>
        <sz val="11"/>
        <color theme="1"/>
        <rFont val="Candara"/>
        <family val="2"/>
      </rPr>
      <t>Acción 3:</t>
    </r>
    <r>
      <rPr>
        <sz val="11"/>
        <color theme="1"/>
        <rFont val="Candara"/>
        <family val="2"/>
      </rPr>
      <t xml:space="preserve"> Acciones de personal para la creación y contratación de dos abogadas para la atención de usuarias en la Sede Regional de Chimaltenango y Totonicapán.</t>
    </r>
  </si>
  <si>
    <r>
      <rPr>
        <b/>
        <sz val="11"/>
        <color theme="1"/>
        <rFont val="Candara"/>
        <family val="2"/>
      </rPr>
      <t>Acción 6:</t>
    </r>
    <r>
      <rPr>
        <sz val="11"/>
        <color theme="1"/>
        <rFont val="Candara"/>
        <family val="2"/>
      </rPr>
      <t xml:space="preserve"> Acciones de personal para la creación y contratación de dos trabajadoras sociales para la atención de usuarias en la Sede Regional de Chimaltenango y Totonicapán.</t>
    </r>
  </si>
  <si>
    <r>
      <rPr>
        <b/>
        <sz val="11"/>
        <color theme="1"/>
        <rFont val="Candara"/>
        <family val="2"/>
      </rPr>
      <t>Acción 3:</t>
    </r>
    <r>
      <rPr>
        <sz val="11"/>
        <color theme="1"/>
        <rFont val="Candara"/>
        <family val="2"/>
      </rPr>
      <t xml:space="preserve"> Acciones de personal para la creación y contratación de nueve psicologas para la atención de usuarias en las Sedes Regionales de Chimaltenango, Totonicapán, Santa Rosa, Sololá, Suchitepequez, San Marcos, Baja  Verapaz, Petén e Izabal.</t>
    </r>
  </si>
  <si>
    <r>
      <rPr>
        <b/>
        <sz val="11"/>
        <color theme="1"/>
        <rFont val="Candara"/>
        <family val="2"/>
      </rPr>
      <t>Acción 4:</t>
    </r>
    <r>
      <rPr>
        <sz val="11"/>
        <color theme="1"/>
        <rFont val="Candara"/>
        <family val="2"/>
      </rPr>
      <t xml:space="preserve"> Aporte de la Defensoría de la Mujer Indígena, en la implementación del Modelo de Atención Integral para las Mujeres Indígenas de Violencia I'xkem MAIMI</t>
    </r>
  </si>
  <si>
    <t>Servicios Jurídicos</t>
  </si>
  <si>
    <t>Més</t>
  </si>
  <si>
    <r>
      <rPr>
        <b/>
        <sz val="11"/>
        <color theme="1"/>
        <rFont val="Candara"/>
        <family val="2"/>
      </rPr>
      <t>Acción 7:</t>
    </r>
    <r>
      <rPr>
        <sz val="11"/>
        <color theme="1"/>
        <rFont val="Candara"/>
        <family val="2"/>
      </rPr>
      <t xml:space="preserve"> Aporte de la Defensoría de la Mujer Indígena, en la implementación del Modelo de Atención Integral para las Mujeres Indígenas de Violencia I'xkem MAIMI</t>
    </r>
  </si>
  <si>
    <r>
      <rPr>
        <b/>
        <sz val="11"/>
        <color theme="1"/>
        <rFont val="Candara"/>
        <family val="2"/>
      </rPr>
      <t>Acción 5:</t>
    </r>
    <r>
      <rPr>
        <sz val="11"/>
        <color theme="1"/>
        <rFont val="Candara"/>
        <family val="2"/>
      </rPr>
      <t xml:space="preserve"> Apertura de sede en el municipio de Sayaxche, Petén, para la atención de mujeres indígenas, victimas de violencia. Una Abogada</t>
    </r>
  </si>
  <si>
    <r>
      <rPr>
        <b/>
        <sz val="11"/>
        <color theme="1"/>
        <rFont val="Candara"/>
        <family val="2"/>
      </rPr>
      <t>Acción 4:</t>
    </r>
    <r>
      <rPr>
        <sz val="11"/>
        <color theme="1"/>
        <rFont val="Candara"/>
        <family val="2"/>
      </rPr>
      <t xml:space="preserve"> Apertura de sede en el municipio de Sayaxche, Petén, para la atención de mujeres indígenas, victimas de violencia. Una Psicologa</t>
    </r>
  </si>
  <si>
    <t>Viaticos en el interior</t>
  </si>
  <si>
    <t>Servicios de atención y protocolo</t>
  </si>
  <si>
    <t>Almuerzos</t>
  </si>
  <si>
    <t xml:space="preserve">Impresión del nuevo Plan Estratégico       </t>
  </si>
  <si>
    <t xml:space="preserve">Impresión del Informe de Labores 2020 </t>
  </si>
  <si>
    <t xml:space="preserve">Refaccion </t>
  </si>
  <si>
    <t xml:space="preserve">planificacion </t>
  </si>
  <si>
    <t>servicios</t>
  </si>
  <si>
    <t>RR/HH</t>
  </si>
  <si>
    <r>
      <rPr>
        <b/>
        <sz val="11"/>
        <color theme="1"/>
        <rFont val="Candara"/>
        <family val="2"/>
      </rPr>
      <t>Acción 11:</t>
    </r>
    <r>
      <rPr>
        <sz val="11"/>
        <color theme="1"/>
        <rFont val="Candara"/>
        <family val="2"/>
      </rPr>
      <t xml:space="preserve"> Acciones de personal para la creación y contratación de dos Delegadas Regionales (Chimaltenango, Totonicapan), Encargada de la Unidad de Información Pública y de la Unidad de Género.</t>
    </r>
  </si>
  <si>
    <r>
      <rPr>
        <b/>
        <sz val="11"/>
        <color theme="1"/>
        <rFont val="Candara"/>
        <family val="2"/>
      </rPr>
      <t xml:space="preserve">Acción 16: </t>
    </r>
    <r>
      <rPr>
        <sz val="11"/>
        <color theme="1"/>
        <rFont val="Candara"/>
        <family val="2"/>
      </rPr>
      <t>Coordinación interinstitucional con las delegadas regionales para el posicionamiento de la Defensoría de la Mujer Indígena, en las reuniones del COMUDE de las Municipalidades de cada municipio en los departamentos donde se tienen cobertura de la DEMI.</t>
    </r>
  </si>
  <si>
    <r>
      <rPr>
        <b/>
        <sz val="11"/>
        <color theme="1"/>
        <rFont val="Candara"/>
        <family val="2"/>
      </rPr>
      <t xml:space="preserve">Accion 7. </t>
    </r>
    <r>
      <rPr>
        <sz val="11"/>
        <color theme="1"/>
        <rFont val="Candara"/>
        <family val="2"/>
      </rPr>
      <t xml:space="preserve">Visita de la Señora Defensora para monitorear el trabajo de la Sedes Regionales por 2 días. </t>
    </r>
  </si>
  <si>
    <r>
      <rPr>
        <b/>
        <sz val="11"/>
        <color theme="1"/>
        <rFont val="Candara"/>
        <family val="2"/>
      </rPr>
      <t xml:space="preserve">Accion 8: </t>
    </r>
    <r>
      <rPr>
        <sz val="11"/>
        <color theme="1"/>
        <rFont val="Candara"/>
        <family val="2"/>
      </rPr>
      <t xml:space="preserve">Reunión de Delegadas con Señora Defensora para la coordinacion de actividades por 2 dias </t>
    </r>
  </si>
  <si>
    <t>Despacho Superior</t>
  </si>
  <si>
    <r>
      <rPr>
        <b/>
        <sz val="11"/>
        <color theme="1"/>
        <rFont val="Candara"/>
        <family val="2"/>
      </rPr>
      <t xml:space="preserve">Acción 9: </t>
    </r>
    <r>
      <rPr>
        <sz val="11"/>
        <color theme="1"/>
        <rFont val="Candara"/>
        <family val="2"/>
      </rPr>
      <t>Dirección Ejecutiva ..   Reuniones bimensuales de trabajo.</t>
    </r>
  </si>
  <si>
    <r>
      <rPr>
        <b/>
        <sz val="11"/>
        <color theme="1"/>
        <rFont val="Candara"/>
        <family val="2"/>
      </rPr>
      <t>Acción 15:</t>
    </r>
    <r>
      <rPr>
        <sz val="11"/>
        <color theme="1"/>
        <rFont val="Candara"/>
        <family val="2"/>
      </rPr>
      <t xml:space="preserve"> Empoderamiento economico a mujeres indígenas usuarias de la Defensoría de la Mujer Indígena.</t>
    </r>
  </si>
  <si>
    <t>Direccion Ejecutiva</t>
  </si>
  <si>
    <t xml:space="preserve">Suministros </t>
  </si>
  <si>
    <t>Nomina</t>
  </si>
  <si>
    <t>nomina</t>
  </si>
  <si>
    <t xml:space="preserve"> servicios Psicologa</t>
  </si>
  <si>
    <t>Bolsas ecologícas para consejo consultivo</t>
  </si>
  <si>
    <t>Taller de socialización  del Plan Estratégico Institucional con Delegadas  Regionales y Sede Central  virtual.</t>
  </si>
  <si>
    <t>Taller de socialización  del Plan Estratégico Institucional con Junta Coordinadora y Comité de Planificación virtual.</t>
  </si>
  <si>
    <t>Taller de socialización  del Plan Estratégico Institucional con Consejo Consultivo y Comité de Planificación virtual.</t>
  </si>
  <si>
    <r>
      <rPr>
        <b/>
        <sz val="11"/>
        <color theme="1"/>
        <rFont val="Candara"/>
        <family val="2"/>
      </rPr>
      <t>Acción 8:</t>
    </r>
    <r>
      <rPr>
        <sz val="11"/>
        <color theme="1"/>
        <rFont val="Candara"/>
        <family val="2"/>
      </rPr>
      <t xml:space="preserve"> Apertura de sede en el municipio de Sayaxche, Petén, para la atención de mujeres indígenas, victimas de violencia.  trabajadoras sociales</t>
    </r>
  </si>
  <si>
    <t>Metas financieras</t>
  </si>
  <si>
    <t>Viaticos</t>
  </si>
  <si>
    <t>unidad</t>
  </si>
  <si>
    <t xml:space="preserve">Servicio de mantenimiento de aire acondicionado, cuarto frio o area de servidores </t>
  </si>
  <si>
    <t>Viaticos por mantenimiento preventivo, limpieza de equipo de computo general  5 dias San Marcos,  Quetzaltenango, Santa Rosa, Chimaltenango, Huehuetenango, Totonicapan, Quiche, Solola, Peten, Izabal, Alta Verapaz,Baja Verapaz. 2 personas</t>
  </si>
  <si>
    <t xml:space="preserve">17 bote espuma y 30 pasta termica  </t>
  </si>
  <si>
    <t xml:space="preserve">Ancho de banda de internet </t>
  </si>
  <si>
    <t xml:space="preserve">1 Micro hondas  para el segundo nivel </t>
  </si>
  <si>
    <t>1  Cafetera para el segundo nivel</t>
  </si>
  <si>
    <t>servicio de transferencia de datos, Servicios de alojamiento Web Hosting y pagina</t>
  </si>
  <si>
    <t xml:space="preserve">licencias antivirus y licencia equipo MAC comunicación social (ADOBE) </t>
  </si>
  <si>
    <t>Acción 4. Realizacion de  asambleas Lingúisticas, para eleccion de integrantes del consejo consultivo.</t>
  </si>
  <si>
    <t>Almuerzos para las participantes de la asamblea lingúistica</t>
  </si>
  <si>
    <t>Refacciones para los participantes de la asamblea Lingüística</t>
  </si>
  <si>
    <t xml:space="preserve">Impresión de libretas  para participantes de la asamblea lingúistica </t>
  </si>
  <si>
    <t>Transporte para las participantes de la asamblea lingúistica</t>
  </si>
  <si>
    <t xml:space="preserve">Viaticos para 5 personas  011 sede central, para la realizacion de la asamblea lingüistica </t>
  </si>
  <si>
    <t xml:space="preserve">reconocimineto de gastos </t>
  </si>
  <si>
    <t xml:space="preserve">Combustible para vehiculo </t>
  </si>
  <si>
    <t xml:space="preserve">   </t>
  </si>
  <si>
    <t xml:space="preserve">  </t>
  </si>
  <si>
    <t>Trabajadora social  029</t>
  </si>
  <si>
    <t>Trabajadora Social  029</t>
  </si>
  <si>
    <t xml:space="preserve">Maestras de educación para el Hogar para 7 sedes regionales. Izabal, Alta verapaz, Baja verapaz, Quiche, Huehuetenango, Chimaltenango y Totonicapan </t>
  </si>
  <si>
    <t>Telefono para la sede Regional de Solola</t>
  </si>
  <si>
    <t xml:space="preserve"> Compra de 6 Escaner, juridico, social informacion publica, udaf  desarrollo politico. Dirección ejectutiva </t>
  </si>
  <si>
    <t>Documento0</t>
  </si>
  <si>
    <t>011,  029,  183</t>
  </si>
  <si>
    <t>Despacho</t>
  </si>
  <si>
    <r>
      <rPr>
        <b/>
        <sz val="11"/>
        <color theme="1"/>
        <rFont val="Candara"/>
        <family val="2"/>
      </rPr>
      <t>Accion 17.</t>
    </r>
    <r>
      <rPr>
        <sz val="11"/>
        <color theme="1"/>
        <rFont val="Candara"/>
        <family val="2"/>
      </rPr>
      <t xml:space="preserve"> Cesion de esoacio</t>
    </r>
  </si>
  <si>
    <t xml:space="preserve">Formacion y Educación </t>
  </si>
  <si>
    <t>Comunicación Social</t>
  </si>
  <si>
    <r>
      <rPr>
        <b/>
        <sz val="11"/>
        <color theme="1"/>
        <rFont val="Candara"/>
        <family val="2"/>
      </rPr>
      <t>Acción 1</t>
    </r>
    <r>
      <rPr>
        <sz val="11"/>
        <color theme="1"/>
        <rFont val="Candara"/>
        <family val="2"/>
      </rPr>
      <t>. Acciones de prevencion y fortalecimineto a usuarias. Con diferentes actividades ( omunicación social)  y cursos informativos ( Formación y Educación).</t>
    </r>
  </si>
  <si>
    <t>Bolson de minutos claro E 1   (Q. 18,000.00)</t>
  </si>
  <si>
    <t>Cesión de espacio presupuestario</t>
  </si>
  <si>
    <t>Víaticos en el interior (Señora Defensora y Piloto)</t>
  </si>
  <si>
    <t xml:space="preserve">Auditoria Interna </t>
  </si>
  <si>
    <r>
      <rPr>
        <b/>
        <sz val="11"/>
        <color theme="1"/>
        <rFont val="Candara"/>
        <family val="2"/>
      </rPr>
      <t>Accion 17.</t>
    </r>
    <r>
      <rPr>
        <sz val="11"/>
        <color theme="1"/>
        <rFont val="Candara"/>
        <family val="2"/>
      </rPr>
      <t xml:space="preserve"> Auditoria Interna Sedes Regionales </t>
    </r>
  </si>
  <si>
    <t>Cpmunicacion Social</t>
  </si>
  <si>
    <t>Udaf</t>
  </si>
  <si>
    <t xml:space="preserve">Acción 5: Equipamiento para  las sedes regionales y centrales </t>
  </si>
  <si>
    <r>
      <rPr>
        <b/>
        <sz val="11"/>
        <color theme="1"/>
        <rFont val="Candara"/>
        <family val="2"/>
      </rPr>
      <t xml:space="preserve">Accion 10: </t>
    </r>
    <r>
      <rPr>
        <sz val="11"/>
        <color theme="1"/>
        <rFont val="Candara"/>
        <family val="2"/>
      </rPr>
      <t xml:space="preserve">Insumos requeridos para mantenimiento preventivo, limpieza de equipo de computo general  en   sedes regionales, y sede Central </t>
    </r>
  </si>
  <si>
    <t>8 Discos duros para servidor NAS. Capacidad de 10 teras (Q.4500)</t>
  </si>
  <si>
    <t>Compra de 3 Impresoras tinta continua Despacho Formacion y Educación y omunicación Social  (Q. 4500)</t>
  </si>
  <si>
    <t>Compra de  15 Fotocopiadora multifuncional para las 13 sedes regionales y dos para la sede central  (Q25,000)</t>
  </si>
  <si>
    <t>Compra de un Routher y un swich   (Q.7,000)</t>
  </si>
  <si>
    <t>10 UPS para swich para cada nivel y area de servidores  en sede central  (Q.800)</t>
  </si>
  <si>
    <t>UPS 120 para equipo de computo sedes regionales y sede central, (Q.800)</t>
  </si>
  <si>
    <t>compra de un Asta desarmable para bandera  Comunicación Social  (Q.800)</t>
  </si>
  <si>
    <t>compra de un microfono de solapa comunicación social (Q.5300)</t>
  </si>
  <si>
    <t>Compra de 4 armarios archiveros  Recursos humanos  (Q.3000 C/U)</t>
  </si>
  <si>
    <t>Compra de 4 archivos de 4 gabetas Recursos humanos  (Q.2200) C/U</t>
  </si>
  <si>
    <t>Compra de 2 trituradoras de papel para la sede Central  (Q.3500 C/U)</t>
  </si>
  <si>
    <t>Compra de 3 Escritorio Ejecutivo 1 Estudio y 2 MAIMI (Q.1000 C/U)</t>
  </si>
  <si>
    <t>Compra de 3 sillas ejecutivas 1 Estudio y 2 MAIMI (Q.800 C/U)</t>
  </si>
  <si>
    <t>Compra de 10 Mesas desplegable plastico con patas de metal  (Q.800 C/U)</t>
  </si>
  <si>
    <t>Compra de 100 Sillas plasticas (Q.60 C/U)</t>
  </si>
  <si>
    <t>compra de  25 Sillas metalicas respaldo plastico (Q.300 C/U)</t>
  </si>
  <si>
    <t>Compra de 100 Vasos para sede Central (Q.20 C/U)</t>
  </si>
  <si>
    <t>Compra de 100 tazas cafeteras  para sede Central  (Q.25 C/U)</t>
  </si>
  <si>
    <t>Compra de 100 Platos de comida  para sede Central  (Q.35 C/U)</t>
  </si>
  <si>
    <t>Compra de 100 tenedores para sede Central  (Q.15 C/U )</t>
  </si>
  <si>
    <t>Compra de 100 cucharas  para sede Central   (Q.15 C/U)</t>
  </si>
  <si>
    <t>75  Cajas platica para Archivo  (Q.125 C/U)</t>
  </si>
  <si>
    <r>
      <rPr>
        <b/>
        <sz val="11"/>
        <color theme="1"/>
        <rFont val="Candara"/>
        <family val="2"/>
      </rPr>
      <t xml:space="preserve">Accion 13: </t>
    </r>
    <r>
      <rPr>
        <sz val="11"/>
        <color theme="1"/>
        <rFont val="Candara"/>
        <family val="2"/>
      </rPr>
      <t xml:space="preserve">Socialización del Plan Estratégico Institucional con Junta Coordinadora. Y realizacion de la memoria de Labores y  POA </t>
    </r>
  </si>
  <si>
    <t xml:space="preserve">Almuerzos para los participantes para la elaboracion de la Memoria de labores y POA </t>
  </si>
  <si>
    <t>Pago de alimentacion  POA 2021</t>
  </si>
  <si>
    <t>Manteimiento y reparación de equipo  (Q. 8,465.00 )</t>
  </si>
  <si>
    <t>Metas Fisicas</t>
  </si>
  <si>
    <t xml:space="preserve">Comunicación social </t>
  </si>
  <si>
    <r>
      <rPr>
        <b/>
        <sz val="11"/>
        <color theme="1"/>
        <rFont val="Candara"/>
        <family val="2"/>
      </rPr>
      <t>Accion 18.</t>
    </r>
    <r>
      <rPr>
        <sz val="11"/>
        <color theme="1"/>
        <rFont val="Candara"/>
        <family val="2"/>
      </rPr>
      <t xml:space="preserve"> Sentencias judiciales: Para la siguientes personas: Shirley Gabriela Sinay Cifuentes , Silvia Licet Elias Higueros,Rut Ester Cotuc Navichoc de Puac, Delfina Celestina Garcia Reyes de Gonzalez,Maria Angelica Lacan Tzul, Veronica Petrona Velasquez Tzul y Rosa Elvira Colop Garcia de Colop.</t>
    </r>
  </si>
  <si>
    <t>Gerson Estuardo Gámez Paz</t>
  </si>
  <si>
    <t>Señora Lilian Karina Xinico Xiquitá</t>
  </si>
  <si>
    <t>Encargado de la Unidad de Planificación,</t>
  </si>
  <si>
    <t>Defensora de la Mujer Indígena</t>
  </si>
  <si>
    <t xml:space="preserve"> Monitoreo y Evaluación</t>
  </si>
  <si>
    <t>Defensoría de la Mujer Indígenas</t>
  </si>
  <si>
    <t xml:space="preserve">Reinstalaciones Pagos de salarios  del mes de marzo a diciembre 2021, </t>
  </si>
  <si>
    <t>Cumplimiento de sentencias de pagos de salarios no percibidos  sumando un monto de Q 1484051.45 mas multa de Q. 110522.10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</si>
</sst>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quot;* #,##0.00_-;\-&quot;Q&quot;* #,##0.00_-;_-&quot;Q&quot;* &quot;-&quot;??_-;_-@_-"/>
    <numFmt numFmtId="43" formatCode="_-* #,##0.00_-;\-* #,##0.00_-;_-* &quot;-&quot;??_-;_-@_-"/>
    <numFmt numFmtId="164" formatCode="_(&quot;Q&quot;* #,##0.00_);_(&quot;Q&quot;* \(#,##0.00\);_(&quot;Q&quot;* &quot;-&quot;??_);_(@_)"/>
    <numFmt numFmtId="165" formatCode="0.0"/>
    <numFmt numFmtId="166" formatCode="_(* #,##0_);_(* \(#,##0\);_(* &quot;-&quot;??_);_(@_)"/>
    <numFmt numFmtId="167" formatCode="00"/>
    <numFmt numFmtId="168" formatCode="000"/>
    <numFmt numFmtId="169" formatCode="_-* #,##0_-;\-* #,##0_-;_-* &quot;-&quot;??_-;_-@_-"/>
    <numFmt numFmtId="170" formatCode="0.0%"/>
    <numFmt numFmtId="171" formatCode="0.000%"/>
    <numFmt numFmtId="172" formatCode="_(* #,##0.00_);_(* \(#,##0.00\);_(* &quot;-&quot;??_);_(@_)"/>
  </numFmts>
  <fonts count="2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b/>
      <sz val="12"/>
      <name val="Arial"/>
      <family val="2"/>
    </font>
    <font>
      <b/>
      <sz val="11"/>
      <name val="Arial"/>
      <family val="2"/>
    </font>
    <font>
      <sz val="10"/>
      <name val="Arial"/>
      <family val="2"/>
    </font>
    <font>
      <b/>
      <sz val="9"/>
      <name val="Arial"/>
      <family val="2"/>
    </font>
    <font>
      <sz val="9"/>
      <name val="Arial"/>
      <family val="2"/>
    </font>
    <font>
      <sz val="12"/>
      <name val="Arial"/>
      <family val="2"/>
    </font>
    <font>
      <sz val="14"/>
      <name val="Arial"/>
      <family val="2"/>
    </font>
    <font>
      <u/>
      <sz val="10"/>
      <color indexed="12"/>
      <name val="Arial"/>
      <family val="2"/>
    </font>
    <font>
      <sz val="12"/>
      <color indexed="8"/>
      <name val="Arial"/>
      <family val="2"/>
    </font>
    <font>
      <sz val="18"/>
      <color indexed="56"/>
      <name val="Verdana"/>
      <family val="2"/>
    </font>
    <font>
      <b/>
      <sz val="22"/>
      <color indexed="56"/>
      <name val="Rockwell Extra Bold"/>
      <family val="1"/>
    </font>
    <font>
      <sz val="18"/>
      <color indexed="56"/>
      <name val="Rockwell Extra Bold"/>
      <family val="1"/>
    </font>
    <font>
      <sz val="8"/>
      <color indexed="56"/>
      <name val="Rockwell Extra Bold"/>
      <family val="1"/>
    </font>
    <font>
      <sz val="11"/>
      <name val="Arial"/>
      <family val="2"/>
    </font>
    <font>
      <sz val="12"/>
      <name val="Calibri"/>
      <family val="2"/>
    </font>
    <font>
      <b/>
      <sz val="12"/>
      <color indexed="56"/>
      <name val="Calibri"/>
      <family val="2"/>
    </font>
    <font>
      <sz val="10"/>
      <name val="Arial"/>
      <family val="2"/>
    </font>
    <font>
      <b/>
      <sz val="14"/>
      <name val="Candara"/>
      <family val="2"/>
    </font>
    <font>
      <sz val="12"/>
      <name val="Candara"/>
      <family val="2"/>
    </font>
    <font>
      <b/>
      <sz val="12"/>
      <name val="Candara"/>
      <family val="2"/>
    </font>
    <font>
      <b/>
      <sz val="16"/>
      <name val="Candara"/>
      <family val="2"/>
    </font>
    <font>
      <u/>
      <sz val="16"/>
      <color indexed="12"/>
      <name val="Arial"/>
      <family val="2"/>
    </font>
    <font>
      <sz val="14"/>
      <name val="Candara"/>
      <family val="2"/>
    </font>
    <font>
      <b/>
      <sz val="12"/>
      <color indexed="56"/>
      <name val="Candara"/>
      <family val="2"/>
    </font>
    <font>
      <b/>
      <sz val="14"/>
      <color indexed="63"/>
      <name val="Candara"/>
      <family val="2"/>
    </font>
    <font>
      <sz val="10"/>
      <name val="Candara"/>
      <family val="2"/>
    </font>
    <font>
      <sz val="11"/>
      <color theme="1"/>
      <name val="Calibri"/>
      <family val="2"/>
      <scheme val="minor"/>
    </font>
    <font>
      <b/>
      <sz val="15"/>
      <color theme="3"/>
      <name val="Calibri"/>
      <family val="2"/>
      <scheme val="minor"/>
    </font>
    <font>
      <b/>
      <sz val="11"/>
      <color theme="3"/>
      <name val="Calibri"/>
      <family val="2"/>
      <scheme val="minor"/>
    </font>
    <font>
      <b/>
      <sz val="12"/>
      <color theme="1"/>
      <name val="Candara"/>
      <family val="2"/>
    </font>
    <font>
      <b/>
      <sz val="18"/>
      <color theme="1"/>
      <name val="Candara"/>
      <family val="2"/>
    </font>
    <font>
      <b/>
      <sz val="12"/>
      <color theme="1"/>
      <name val="Calibri"/>
      <family val="2"/>
    </font>
    <font>
      <sz val="20"/>
      <color theme="1"/>
      <name val="Candara"/>
      <family val="2"/>
    </font>
    <font>
      <b/>
      <sz val="14"/>
      <color theme="1"/>
      <name val="Candara"/>
      <family val="2"/>
    </font>
    <font>
      <sz val="14"/>
      <color theme="4" tint="-0.249977111117893"/>
      <name val="Calibri"/>
      <family val="2"/>
      <scheme val="minor"/>
    </font>
    <font>
      <sz val="14"/>
      <color theme="4" tint="-0.249977111117893"/>
      <name val="Arial"/>
      <family val="2"/>
    </font>
    <font>
      <sz val="11"/>
      <name val="Candara"/>
      <family val="2"/>
    </font>
    <font>
      <b/>
      <sz val="16"/>
      <color theme="4" tint="-0.249977111117893"/>
      <name val="Calibri"/>
      <family val="2"/>
    </font>
    <font>
      <b/>
      <u/>
      <sz val="12"/>
      <color rgb="FF3B3838"/>
      <name val="Arial"/>
      <family val="2"/>
    </font>
    <font>
      <sz val="12"/>
      <color rgb="FF3B3838"/>
      <name val="Arial"/>
      <family val="2"/>
    </font>
    <font>
      <sz val="12"/>
      <color theme="1"/>
      <name val="Candara"/>
      <family val="2"/>
    </font>
    <font>
      <sz val="14"/>
      <color theme="1"/>
      <name val="Candara"/>
      <family val="2"/>
    </font>
    <font>
      <sz val="18"/>
      <color theme="1"/>
      <name val="Candara"/>
      <family val="2"/>
    </font>
    <font>
      <b/>
      <sz val="11"/>
      <name val="Candara"/>
      <family val="2"/>
    </font>
    <font>
      <sz val="11"/>
      <color theme="1"/>
      <name val="Candara"/>
      <family val="2"/>
    </font>
    <font>
      <b/>
      <sz val="11"/>
      <color indexed="8"/>
      <name val="Candara"/>
      <family val="2"/>
    </font>
    <font>
      <sz val="10"/>
      <color theme="1"/>
      <name val="Candara"/>
      <family val="2"/>
    </font>
    <font>
      <b/>
      <sz val="11"/>
      <color theme="1"/>
      <name val="Candara"/>
      <family val="2"/>
    </font>
    <font>
      <sz val="11"/>
      <name val="Calibri"/>
      <family val="2"/>
    </font>
    <font>
      <sz val="9"/>
      <color rgb="FF000000"/>
      <name val="Candara"/>
      <family val="2"/>
    </font>
    <font>
      <sz val="10"/>
      <color rgb="FFFF0000"/>
      <name val="Arial"/>
      <family val="2"/>
    </font>
    <font>
      <sz val="9"/>
      <name val="Candara"/>
      <family val="2"/>
    </font>
    <font>
      <b/>
      <sz val="10"/>
      <name val="Candara"/>
      <family val="2"/>
    </font>
    <font>
      <b/>
      <sz val="14"/>
      <color indexed="56"/>
      <name val="Candara"/>
      <family val="2"/>
    </font>
    <font>
      <b/>
      <sz val="11"/>
      <color theme="1"/>
      <name val="Arial"/>
      <family val="2"/>
    </font>
    <font>
      <b/>
      <sz val="16"/>
      <color indexed="8"/>
      <name val="Candara"/>
      <family val="2"/>
    </font>
    <font>
      <b/>
      <sz val="9"/>
      <color theme="1"/>
      <name val="Candara"/>
      <family val="2"/>
    </font>
    <font>
      <sz val="10"/>
      <color theme="0"/>
      <name val="Arial"/>
      <family val="2"/>
    </font>
    <font>
      <b/>
      <sz val="10"/>
      <color theme="1"/>
      <name val="Candara"/>
      <family val="2"/>
    </font>
    <font>
      <b/>
      <i/>
      <u/>
      <sz val="14"/>
      <color theme="8" tint="-0.249977111117893"/>
      <name val="Candara"/>
      <family val="2"/>
    </font>
    <font>
      <sz val="9"/>
      <color theme="1"/>
      <name val="Candara"/>
      <family val="2"/>
    </font>
    <font>
      <sz val="8"/>
      <color theme="1"/>
      <name val="Candara"/>
      <family val="2"/>
    </font>
    <font>
      <b/>
      <sz val="11"/>
      <color theme="0"/>
      <name val="Calibri"/>
      <family val="2"/>
      <scheme val="minor"/>
    </font>
    <font>
      <b/>
      <sz val="11"/>
      <color theme="1"/>
      <name val="Calibri"/>
      <family val="2"/>
      <scheme val="minor"/>
    </font>
    <font>
      <b/>
      <sz val="12"/>
      <color theme="0"/>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color theme="0"/>
      <name val="Calibri"/>
      <family val="2"/>
      <scheme val="minor"/>
    </font>
    <font>
      <b/>
      <sz val="7"/>
      <color theme="0"/>
      <name val="Calibri"/>
      <family val="2"/>
      <scheme val="minor"/>
    </font>
    <font>
      <b/>
      <sz val="9"/>
      <name val="Calibri"/>
      <family val="2"/>
      <scheme val="minor"/>
    </font>
    <font>
      <sz val="9"/>
      <name val="Calibri"/>
      <family val="2"/>
      <scheme val="minor"/>
    </font>
    <font>
      <sz val="11"/>
      <name val="Calibri"/>
      <family val="2"/>
      <scheme val="minor"/>
    </font>
    <font>
      <b/>
      <sz val="12"/>
      <color theme="0"/>
      <name val="Candara"/>
      <family val="2"/>
    </font>
    <font>
      <i/>
      <sz val="13"/>
      <name val="Candara"/>
      <family val="2"/>
    </font>
    <font>
      <b/>
      <sz val="12"/>
      <color rgb="FFFF0000"/>
      <name val="Cambria"/>
      <family val="1"/>
    </font>
    <font>
      <b/>
      <sz val="14"/>
      <color rgb="FF7030A0"/>
      <name val="Cambria"/>
      <family val="1"/>
    </font>
    <font>
      <sz val="10"/>
      <color rgb="FF7030A0"/>
      <name val="Cambria"/>
      <family val="1"/>
    </font>
    <font>
      <sz val="8"/>
      <color rgb="FF000000"/>
      <name val="Candara"/>
      <family val="2"/>
    </font>
    <font>
      <b/>
      <sz val="14"/>
      <color theme="4" tint="-0.249977111117893"/>
      <name val="Candara"/>
      <family val="2"/>
    </font>
    <font>
      <b/>
      <sz val="12"/>
      <color rgb="FFFF0000"/>
      <name val="Candara"/>
      <family val="2"/>
    </font>
    <font>
      <b/>
      <sz val="10"/>
      <color theme="3"/>
      <name val="Arial"/>
      <family val="2"/>
    </font>
    <font>
      <b/>
      <sz val="14"/>
      <color theme="0"/>
      <name val="Candara"/>
      <family val="2"/>
    </font>
    <font>
      <i/>
      <sz val="14"/>
      <color rgb="FF3B3838"/>
      <name val="Candara"/>
      <family val="2"/>
    </font>
    <font>
      <sz val="12"/>
      <color theme="0"/>
      <name val="Candara"/>
      <family val="2"/>
    </font>
    <font>
      <b/>
      <i/>
      <sz val="12"/>
      <color theme="0"/>
      <name val="Candara"/>
      <family val="2"/>
    </font>
    <font>
      <i/>
      <sz val="12"/>
      <color theme="0"/>
      <name val="Candara"/>
      <family val="2"/>
    </font>
    <font>
      <b/>
      <sz val="10"/>
      <color theme="0"/>
      <name val="Calibri"/>
      <family val="2"/>
      <scheme val="minor"/>
    </font>
    <font>
      <b/>
      <sz val="12"/>
      <color rgb="FF000000"/>
      <name val="Candara"/>
      <family val="2"/>
    </font>
    <font>
      <b/>
      <i/>
      <sz val="14"/>
      <color theme="0"/>
      <name val="Candara"/>
      <family val="2"/>
    </font>
    <font>
      <b/>
      <sz val="14"/>
      <color theme="0"/>
      <name val="Arial"/>
      <family val="2"/>
    </font>
    <font>
      <b/>
      <i/>
      <sz val="14"/>
      <color theme="1"/>
      <name val="Candara"/>
      <family val="2"/>
    </font>
    <font>
      <b/>
      <sz val="10"/>
      <color theme="0"/>
      <name val="Arial"/>
      <family val="2"/>
    </font>
    <font>
      <b/>
      <sz val="12"/>
      <color theme="3" tint="-0.249977111117893"/>
      <name val="Candara"/>
      <family val="2"/>
    </font>
    <font>
      <b/>
      <sz val="12"/>
      <color theme="4" tint="-0.249977111117893"/>
      <name val="Calibri"/>
      <family val="2"/>
    </font>
    <font>
      <b/>
      <sz val="12"/>
      <color theme="0"/>
      <name val="Calibri"/>
      <family val="2"/>
    </font>
    <font>
      <b/>
      <sz val="8"/>
      <name val="Candara"/>
      <family val="2"/>
    </font>
    <font>
      <b/>
      <sz val="11"/>
      <color theme="0"/>
      <name val="Candara"/>
      <family val="2"/>
    </font>
    <font>
      <b/>
      <sz val="14"/>
      <color theme="1" tint="0.34998626667073579"/>
      <name val="Candara"/>
      <family val="2"/>
    </font>
    <font>
      <b/>
      <sz val="14"/>
      <color theme="6" tint="-0.249977111117893"/>
      <name val="Candara"/>
      <family val="2"/>
    </font>
    <font>
      <b/>
      <sz val="12"/>
      <color theme="6" tint="-0.249977111117893"/>
      <name val="Candara"/>
      <family val="2"/>
    </font>
    <font>
      <sz val="11"/>
      <color theme="0"/>
      <name val="Candara"/>
      <family val="2"/>
    </font>
    <font>
      <sz val="10"/>
      <color theme="0"/>
      <name val="Calibri"/>
      <family val="2"/>
      <scheme val="minor"/>
    </font>
    <font>
      <b/>
      <sz val="24"/>
      <color theme="0"/>
      <name val="Candara"/>
      <family val="2"/>
    </font>
    <font>
      <b/>
      <sz val="16"/>
      <color theme="0"/>
      <name val="Candara"/>
      <family val="2"/>
    </font>
    <font>
      <b/>
      <sz val="14"/>
      <color rgb="FF000000"/>
      <name val="Candara"/>
      <family val="2"/>
    </font>
    <font>
      <sz val="16"/>
      <color theme="1"/>
      <name val="Calibri"/>
      <family val="2"/>
      <scheme val="minor"/>
    </font>
    <font>
      <sz val="18"/>
      <color theme="1"/>
      <name val="Calibri"/>
      <family val="2"/>
      <scheme val="minor"/>
    </font>
    <font>
      <sz val="10"/>
      <name val="Arial"/>
      <family val="2"/>
    </font>
    <font>
      <b/>
      <sz val="12"/>
      <color indexed="8"/>
      <name val="Candara"/>
      <family val="2"/>
    </font>
    <font>
      <b/>
      <sz val="7"/>
      <color indexed="8"/>
      <name val="Candara"/>
      <family val="2"/>
    </font>
    <font>
      <b/>
      <sz val="10"/>
      <color indexed="56"/>
      <name val="Calibri"/>
      <family val="2"/>
      <scheme val="minor"/>
    </font>
    <font>
      <b/>
      <sz val="10"/>
      <color indexed="8"/>
      <name val="Calibri"/>
      <family val="2"/>
      <scheme val="minor"/>
    </font>
    <font>
      <b/>
      <sz val="22"/>
      <color theme="4"/>
      <name val="Rockwell Extra Bold"/>
      <family val="1"/>
    </font>
    <font>
      <sz val="18"/>
      <color theme="4"/>
      <name val="Rockwell Extra Bold"/>
      <family val="1"/>
    </font>
    <font>
      <b/>
      <sz val="18"/>
      <color theme="4"/>
      <name val="Rockwell Extra Bold"/>
      <family val="1"/>
    </font>
    <font>
      <b/>
      <i/>
      <sz val="14"/>
      <color rgb="FF3B3838"/>
      <name val="Candara"/>
      <family val="2"/>
    </font>
    <font>
      <sz val="10"/>
      <color indexed="56"/>
      <name val="Verdana"/>
      <family val="2"/>
    </font>
    <font>
      <b/>
      <sz val="10"/>
      <color indexed="56"/>
      <name val="Verdana"/>
      <family val="2"/>
    </font>
    <font>
      <b/>
      <sz val="16"/>
      <color theme="4"/>
      <name val="Rockwell Extra Bold"/>
      <family val="1"/>
    </font>
    <font>
      <b/>
      <sz val="16"/>
      <color theme="1"/>
      <name val="Candara"/>
      <family val="2"/>
    </font>
    <font>
      <sz val="11"/>
      <color rgb="FFFFFFFF"/>
      <name val="Calibri"/>
      <family val="2"/>
    </font>
    <font>
      <b/>
      <i/>
      <sz val="14"/>
      <color theme="4" tint="-0.249977111117893"/>
      <name val="Candara"/>
      <family val="2"/>
    </font>
    <font>
      <sz val="14"/>
      <color theme="1"/>
      <name val="Arial"/>
      <family val="2"/>
    </font>
    <font>
      <b/>
      <sz val="12"/>
      <color theme="1"/>
      <name val="Calibri"/>
      <family val="2"/>
      <scheme val="minor"/>
    </font>
    <font>
      <b/>
      <sz val="14"/>
      <color theme="1"/>
      <name val="Calibri"/>
      <family val="2"/>
      <scheme val="minor"/>
    </font>
    <font>
      <sz val="10"/>
      <name val="Arial"/>
      <family val="2"/>
    </font>
    <font>
      <sz val="11"/>
      <color theme="1"/>
      <name val="Arial"/>
      <family val="2"/>
    </font>
    <font>
      <sz val="12"/>
      <color rgb="FF444444"/>
      <name val="Cambria"/>
      <family val="1"/>
      <scheme val="major"/>
    </font>
    <font>
      <sz val="12"/>
      <name val="Cambria"/>
      <family val="1"/>
      <scheme val="major"/>
    </font>
    <font>
      <sz val="12"/>
      <color theme="1"/>
      <name val="Cambria"/>
      <family val="1"/>
      <scheme val="major"/>
    </font>
    <font>
      <sz val="10"/>
      <color theme="1"/>
      <name val="Arial"/>
      <family val="2"/>
    </font>
    <font>
      <sz val="11"/>
      <name val="Cambria"/>
      <family val="1"/>
      <scheme val="major"/>
    </font>
    <font>
      <sz val="10"/>
      <name val="Cambria"/>
      <family val="1"/>
      <scheme val="major"/>
    </font>
    <font>
      <b/>
      <sz val="12"/>
      <color theme="1"/>
      <name val="Cambria"/>
      <family val="1"/>
      <scheme val="major"/>
    </font>
    <font>
      <sz val="10"/>
      <color theme="1"/>
      <name val="Cambria"/>
      <family val="1"/>
      <scheme val="major"/>
    </font>
    <font>
      <b/>
      <sz val="10"/>
      <color theme="1"/>
      <name val="Cambria"/>
      <family val="1"/>
      <scheme val="major"/>
    </font>
    <font>
      <b/>
      <sz val="8"/>
      <color theme="1"/>
      <name val="Cambria"/>
      <family val="1"/>
      <scheme val="major"/>
    </font>
    <font>
      <b/>
      <sz val="8"/>
      <color rgb="FF000000"/>
      <name val="Cambria"/>
      <family val="1"/>
      <scheme val="major"/>
    </font>
    <font>
      <b/>
      <sz val="9"/>
      <color theme="1"/>
      <name val="Cambria"/>
      <family val="1"/>
      <scheme val="major"/>
    </font>
    <font>
      <b/>
      <sz val="9"/>
      <name val="Cambria"/>
      <family val="1"/>
      <scheme val="major"/>
    </font>
    <font>
      <sz val="9"/>
      <name val="Cambria"/>
      <family val="1"/>
      <scheme val="major"/>
    </font>
    <font>
      <b/>
      <sz val="12"/>
      <name val="Cambria"/>
      <family val="1"/>
      <scheme val="major"/>
    </font>
    <font>
      <b/>
      <sz val="12"/>
      <color theme="0"/>
      <name val="Cambria"/>
      <family val="1"/>
      <scheme val="major"/>
    </font>
    <font>
      <sz val="18"/>
      <name val="Cambria"/>
      <family val="1"/>
      <scheme val="major"/>
    </font>
    <font>
      <b/>
      <i/>
      <sz val="14"/>
      <name val="Candara"/>
      <family val="2"/>
    </font>
    <font>
      <b/>
      <i/>
      <sz val="12"/>
      <name val="Cambria"/>
      <family val="1"/>
      <scheme val="major"/>
    </font>
    <font>
      <b/>
      <sz val="12"/>
      <color theme="2" tint="-0.499984740745262"/>
      <name val="Cambria"/>
      <family val="1"/>
      <scheme val="major"/>
    </font>
    <font>
      <sz val="12"/>
      <color theme="1"/>
      <name val="Calibri"/>
      <family val="2"/>
    </font>
    <font>
      <b/>
      <sz val="18"/>
      <color theme="1"/>
      <name val="Cambria"/>
      <family val="1"/>
      <scheme val="major"/>
    </font>
    <font>
      <sz val="10"/>
      <color indexed="10"/>
      <name val="Cambria"/>
      <family val="1"/>
      <scheme val="major"/>
    </font>
    <font>
      <sz val="12"/>
      <color rgb="FF000000"/>
      <name val="Cambria"/>
      <family val="1"/>
      <scheme val="major"/>
    </font>
    <font>
      <sz val="12"/>
      <color rgb="FF7030A0"/>
      <name val="Wingdings"/>
      <charset val="2"/>
    </font>
    <font>
      <sz val="12"/>
      <color rgb="FF7030A0"/>
      <name val="Times New Roman"/>
      <family val="1"/>
    </font>
    <font>
      <sz val="12"/>
      <name val="Wingdings"/>
      <charset val="2"/>
    </font>
    <font>
      <sz val="12"/>
      <name val="Times New Roman"/>
      <family val="1"/>
    </font>
    <font>
      <sz val="12"/>
      <color rgb="FF7030A0"/>
      <name val="Calibri"/>
      <family val="2"/>
    </font>
    <font>
      <b/>
      <sz val="16"/>
      <color theme="3"/>
      <name val="Candara"/>
      <family val="2"/>
    </font>
    <font>
      <sz val="10"/>
      <color rgb="FF000000"/>
      <name val="Calibri"/>
      <family val="2"/>
    </font>
    <font>
      <sz val="12"/>
      <color indexed="8"/>
      <name val="Calibri"/>
      <family val="2"/>
    </font>
    <font>
      <b/>
      <sz val="12"/>
      <color indexed="8"/>
      <name val="Calibri"/>
      <family val="2"/>
    </font>
    <font>
      <b/>
      <sz val="12"/>
      <color rgb="FF000000"/>
      <name val="Calibri"/>
      <family val="2"/>
    </font>
    <font>
      <sz val="11"/>
      <color rgb="FFFF0000"/>
      <name val="Candara"/>
      <family val="2"/>
    </font>
    <font>
      <b/>
      <sz val="12"/>
      <color theme="1"/>
      <name val="Arial"/>
      <family val="2"/>
    </font>
    <font>
      <sz val="11"/>
      <color rgb="FFFF0000"/>
      <name val="Arial"/>
      <family val="2"/>
    </font>
    <font>
      <b/>
      <sz val="14"/>
      <name val="Arial"/>
      <family val="2"/>
    </font>
    <font>
      <b/>
      <sz val="10"/>
      <color rgb="FFFF0000"/>
      <name val="Arial"/>
      <family val="2"/>
    </font>
    <font>
      <sz val="12"/>
      <color theme="1"/>
      <name val="Calibri"/>
      <family val="2"/>
      <scheme val="minor"/>
    </font>
    <font>
      <sz val="14"/>
      <color theme="1"/>
      <name val="Calibri"/>
      <family val="2"/>
      <scheme val="minor"/>
    </font>
    <font>
      <sz val="9"/>
      <color indexed="8"/>
      <name val="Arial"/>
      <family val="2"/>
    </font>
  </fonts>
  <fills count="4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3"/>
        <bgColor indexed="64"/>
      </patternFill>
    </fill>
    <fill>
      <patternFill patternType="solid">
        <fgColor theme="6" tint="0.39997558519241921"/>
        <bgColor indexed="64"/>
      </patternFill>
    </fill>
    <fill>
      <patternFill patternType="solid">
        <fgColor theme="4"/>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rgb="FF00B0F0"/>
        <bgColor indexed="64"/>
      </patternFill>
    </fill>
    <fill>
      <patternFill patternType="solid">
        <fgColor rgb="FFCCFF99"/>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rgb="FFE9EDF4"/>
        <bgColor indexed="64"/>
      </patternFill>
    </fill>
    <fill>
      <patternFill patternType="solid">
        <fgColor theme="2"/>
        <bgColor indexed="64"/>
      </patternFill>
    </fill>
    <fill>
      <patternFill patternType="solid">
        <fgColor theme="2" tint="-9.9978637043366805E-2"/>
        <bgColor indexed="64"/>
      </patternFill>
    </fill>
    <fill>
      <patternFill patternType="solid">
        <fgColor theme="3" tint="0.59999389629810485"/>
        <bgColor indexed="64"/>
      </patternFill>
    </fill>
  </fills>
  <borders count="189">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4" tint="-0.499984740745262"/>
      </left>
      <right style="medium">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bottom style="thin">
        <color theme="4" tint="-0.499984740745262"/>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medium">
        <color theme="3" tint="-0.499984740745262"/>
      </left>
      <right/>
      <top/>
      <bottom/>
      <diagonal/>
    </border>
    <border>
      <left/>
      <right style="thin">
        <color theme="4" tint="-0.499984740745262"/>
      </right>
      <top/>
      <bottom style="thin">
        <color theme="4"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style="thin">
        <color theme="3"/>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right style="thin">
        <color theme="3"/>
      </right>
      <top style="medium">
        <color theme="3"/>
      </top>
      <bottom style="medium">
        <color theme="3"/>
      </bottom>
      <diagonal/>
    </border>
    <border>
      <left style="thin">
        <color theme="4" tint="-0.499984740745262"/>
      </left>
      <right style="thin">
        <color theme="4" tint="-0.499984740745262"/>
      </right>
      <top style="medium">
        <color theme="3"/>
      </top>
      <bottom style="thin">
        <color theme="4" tint="-0.499984740745262"/>
      </bottom>
      <diagonal/>
    </border>
    <border>
      <left/>
      <right style="thin">
        <color theme="4" tint="-0.499984740745262"/>
      </right>
      <top style="medium">
        <color theme="3"/>
      </top>
      <bottom style="thin">
        <color theme="4" tint="-0.499984740745262"/>
      </bottom>
      <diagonal/>
    </border>
    <border>
      <left/>
      <right style="thin">
        <color theme="4" tint="-0.499984740745262"/>
      </right>
      <top style="thin">
        <color theme="4" tint="-0.499984740745262"/>
      </top>
      <bottom style="medium">
        <color theme="3"/>
      </bottom>
      <diagonal/>
    </border>
    <border>
      <left style="thin">
        <color theme="4" tint="-0.499984740745262"/>
      </left>
      <right style="medium">
        <color theme="3"/>
      </right>
      <top style="medium">
        <color theme="3"/>
      </top>
      <bottom style="thin">
        <color theme="4" tint="-0.499984740745262"/>
      </bottom>
      <diagonal/>
    </border>
    <border>
      <left style="thin">
        <color theme="4" tint="-0.499984740745262"/>
      </left>
      <right style="medium">
        <color theme="3"/>
      </right>
      <top style="thin">
        <color theme="4" tint="-0.499984740745262"/>
      </top>
      <bottom style="thin">
        <color theme="4" tint="-0.499984740745262"/>
      </bottom>
      <diagonal/>
    </border>
    <border>
      <left style="medium">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style="thin">
        <color indexed="64"/>
      </right>
      <top style="medium">
        <color theme="3" tint="-0.499984740745262"/>
      </top>
      <bottom style="thin">
        <color indexed="64"/>
      </bottom>
      <diagonal/>
    </border>
    <border>
      <left style="thin">
        <color indexed="64"/>
      </left>
      <right style="thin">
        <color indexed="64"/>
      </right>
      <top style="medium">
        <color theme="3" tint="-0.499984740745262"/>
      </top>
      <bottom style="thin">
        <color indexed="64"/>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indexed="64"/>
      </left>
      <right style="medium">
        <color indexed="64"/>
      </right>
      <top/>
      <bottom style="thin">
        <color indexed="64"/>
      </bottom>
      <diagonal/>
    </border>
    <border>
      <left style="thin">
        <color indexed="64"/>
      </left>
      <right/>
      <top style="medium">
        <color theme="3" tint="-0.499984740745262"/>
      </top>
      <bottom style="thin">
        <color indexed="64"/>
      </bottom>
      <diagonal/>
    </border>
    <border>
      <left style="medium">
        <color indexed="64"/>
      </left>
      <right style="thin">
        <color indexed="64"/>
      </right>
      <top style="medium">
        <color theme="3" tint="-0.499984740745262"/>
      </top>
      <bottom style="thin">
        <color indexed="64"/>
      </bottom>
      <diagonal/>
    </border>
    <border>
      <left style="thin">
        <color indexed="64"/>
      </left>
      <right style="medium">
        <color indexed="64"/>
      </right>
      <top style="medium">
        <color theme="3" tint="-0.499984740745262"/>
      </top>
      <bottom style="thin">
        <color indexed="64"/>
      </bottom>
      <diagonal/>
    </border>
    <border>
      <left style="medium">
        <color indexed="64"/>
      </left>
      <right style="medium">
        <color indexed="64"/>
      </right>
      <top style="medium">
        <color theme="3" tint="-0.499984740745262"/>
      </top>
      <bottom style="thin">
        <color indexed="64"/>
      </bottom>
      <diagonal/>
    </border>
    <border>
      <left style="medium">
        <color indexed="64"/>
      </left>
      <right style="medium">
        <color theme="3" tint="-0.499984740745262"/>
      </right>
      <top style="medium">
        <color theme="3" tint="-0.499984740745262"/>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diagonal/>
    </border>
    <border>
      <left style="medium">
        <color indexed="64"/>
      </left>
      <right style="thin">
        <color theme="3" tint="-0.499984740745262"/>
      </right>
      <top style="medium">
        <color indexed="64"/>
      </top>
      <bottom style="thin">
        <color theme="3" tint="-0.499984740745262"/>
      </bottom>
      <diagonal/>
    </border>
    <border>
      <left style="thin">
        <color theme="3" tint="-0.499984740745262"/>
      </left>
      <right style="medium">
        <color indexed="64"/>
      </right>
      <top style="medium">
        <color indexed="64"/>
      </top>
      <bottom style="thin">
        <color theme="3" tint="-0.499984740745262"/>
      </bottom>
      <diagonal/>
    </border>
    <border>
      <left style="medium">
        <color indexed="64"/>
      </left>
      <right style="thin">
        <color theme="3" tint="-0.499984740745262"/>
      </right>
      <top style="thin">
        <color theme="3" tint="-0.499984740745262"/>
      </top>
      <bottom style="thin">
        <color theme="3" tint="-0.499984740745262"/>
      </bottom>
      <diagonal/>
    </border>
    <border>
      <left style="thin">
        <color theme="3" tint="-0.499984740745262"/>
      </left>
      <right style="medium">
        <color indexed="64"/>
      </right>
      <top style="thin">
        <color theme="3" tint="-0.499984740745262"/>
      </top>
      <bottom style="thin">
        <color theme="3" tint="-0.499984740745262"/>
      </bottom>
      <diagonal/>
    </border>
    <border>
      <left style="medium">
        <color indexed="64"/>
      </left>
      <right style="thin">
        <color theme="3" tint="-0.499984740745262"/>
      </right>
      <top style="thin">
        <color theme="3" tint="-0.499984740745262"/>
      </top>
      <bottom style="medium">
        <color indexed="64"/>
      </bottom>
      <diagonal/>
    </border>
    <border>
      <left style="thin">
        <color theme="3" tint="-0.499984740745262"/>
      </left>
      <right style="medium">
        <color indexed="64"/>
      </right>
      <top style="thin">
        <color theme="3" tint="-0.499984740745262"/>
      </top>
      <bottom style="medium">
        <color indexed="64"/>
      </bottom>
      <diagonal/>
    </border>
    <border>
      <left style="medium">
        <color indexed="64"/>
      </left>
      <right style="medium">
        <color rgb="FF95B3D7"/>
      </right>
      <top/>
      <bottom style="medium">
        <color rgb="FF95B3D7"/>
      </bottom>
      <diagonal/>
    </border>
    <border>
      <left/>
      <right style="medium">
        <color rgb="FF95B3D7"/>
      </right>
      <top/>
      <bottom style="medium">
        <color rgb="FF95B3D7"/>
      </bottom>
      <diagonal/>
    </border>
    <border>
      <left style="medium">
        <color rgb="FF95B3D7"/>
      </left>
      <right style="medium">
        <color rgb="FF95B3D7"/>
      </right>
      <top/>
      <bottom style="medium">
        <color rgb="FF95B3D7"/>
      </bottom>
      <diagonal/>
    </border>
    <border>
      <left/>
      <right style="medium">
        <color indexed="64"/>
      </right>
      <top/>
      <bottom style="medium">
        <color rgb="FF95B3D7"/>
      </bottom>
      <diagonal/>
    </border>
    <border>
      <left style="medium">
        <color indexed="64"/>
      </left>
      <right style="medium">
        <color rgb="FF95B3D7"/>
      </right>
      <top/>
      <bottom/>
      <diagonal/>
    </border>
    <border>
      <left/>
      <right style="medium">
        <color rgb="FF95B3D7"/>
      </right>
      <top/>
      <bottom/>
      <diagonal/>
    </border>
    <border>
      <left style="medium">
        <color rgb="FF95B3D7"/>
      </left>
      <right/>
      <top style="medium">
        <color rgb="FF95B3D7"/>
      </top>
      <bottom/>
      <diagonal/>
    </border>
    <border>
      <left/>
      <right style="medium">
        <color rgb="FF95B3D7"/>
      </right>
      <top style="medium">
        <color rgb="FF95B3D7"/>
      </top>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theme="4" tint="-0.499984740745262"/>
      </left>
      <right/>
      <top/>
      <bottom/>
      <diagonal/>
    </border>
    <border>
      <left style="thick">
        <color theme="3" tint="-0.249977111117893"/>
      </left>
      <right style="thick">
        <color theme="3" tint="-0.249977111117893"/>
      </right>
      <top style="thick">
        <color theme="3" tint="-0.249977111117893"/>
      </top>
      <bottom style="thick">
        <color theme="3" tint="-0.249977111117893"/>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right style="medium">
        <color indexed="64"/>
      </right>
      <top style="thin">
        <color indexed="64"/>
      </top>
      <bottom/>
      <diagonal/>
    </border>
    <border>
      <left style="medium">
        <color theme="3" tint="-0.499984740745262"/>
      </left>
      <right style="thin">
        <color indexed="64"/>
      </right>
      <top style="thin">
        <color indexed="64"/>
      </top>
      <bottom/>
      <diagonal/>
    </border>
    <border>
      <left style="medium">
        <color indexed="64"/>
      </left>
      <right style="medium">
        <color theme="3" tint="-0.499984740745262"/>
      </right>
      <top style="thin">
        <color indexed="64"/>
      </top>
      <bottom/>
      <diagonal/>
    </border>
    <border>
      <left/>
      <right style="thin">
        <color theme="4" tint="-0.499984740745262"/>
      </right>
      <top style="medium">
        <color theme="4" tint="-0.499984740745262"/>
      </top>
      <bottom/>
      <diagonal/>
    </border>
    <border>
      <left style="medium">
        <color theme="3"/>
      </left>
      <right/>
      <top/>
      <bottom style="medium">
        <color theme="4" tint="-0.499984740745262"/>
      </bottom>
      <diagonal/>
    </border>
    <border>
      <left style="thin">
        <color theme="4" tint="-0.499984740745262"/>
      </left>
      <right/>
      <top style="medium">
        <color theme="4" tint="-0.499984740745262"/>
      </top>
      <bottom/>
      <diagonal/>
    </border>
    <border>
      <left style="medium">
        <color theme="3"/>
      </left>
      <right/>
      <top style="medium">
        <color theme="4" tint="-0.499984740745262"/>
      </top>
      <bottom style="medium">
        <color theme="3"/>
      </bottom>
      <diagonal/>
    </border>
    <border>
      <left style="medium">
        <color theme="3"/>
      </left>
      <right/>
      <top style="medium">
        <color theme="3"/>
      </top>
      <bottom style="thin">
        <color theme="4" tint="-0.499984740745262"/>
      </bottom>
      <diagonal/>
    </border>
    <border>
      <left style="medium">
        <color theme="3"/>
      </left>
      <right/>
      <top style="thin">
        <color theme="4" tint="-0.499984740745262"/>
      </top>
      <bottom style="thin">
        <color theme="4" tint="-0.499984740745262"/>
      </bottom>
      <diagonal/>
    </border>
    <border>
      <left style="medium">
        <color theme="3"/>
      </left>
      <right/>
      <top style="thin">
        <color theme="4" tint="-0.499984740745262"/>
      </top>
      <bottom style="medium">
        <color theme="3"/>
      </bottom>
      <diagonal/>
    </border>
    <border>
      <left/>
      <right style="medium">
        <color theme="4" tint="-0.499984740745262"/>
      </right>
      <top/>
      <bottom/>
      <diagonal/>
    </border>
    <border>
      <left/>
      <right style="medium">
        <color theme="3"/>
      </right>
      <top/>
      <bottom/>
      <diagonal/>
    </border>
    <border>
      <left style="medium">
        <color indexed="64"/>
      </left>
      <right style="thin">
        <color theme="4" tint="-0.499984740745262"/>
      </right>
      <top style="medium">
        <color indexed="64"/>
      </top>
      <bottom style="medium">
        <color theme="3"/>
      </bottom>
      <diagonal/>
    </border>
    <border>
      <left style="thin">
        <color theme="4" tint="-0.499984740745262"/>
      </left>
      <right style="medium">
        <color theme="4" tint="-0.499984740745262"/>
      </right>
      <top style="medium">
        <color indexed="64"/>
      </top>
      <bottom style="medium">
        <color theme="3"/>
      </bottom>
      <diagonal/>
    </border>
    <border>
      <left style="medium">
        <color theme="4" tint="-0.499984740745262"/>
      </left>
      <right style="thin">
        <color theme="4" tint="-0.499984740745262"/>
      </right>
      <top style="medium">
        <color indexed="64"/>
      </top>
      <bottom style="medium">
        <color theme="3"/>
      </bottom>
      <diagonal/>
    </border>
    <border>
      <left style="thin">
        <color theme="4" tint="-0.499984740745262"/>
      </left>
      <right style="thin">
        <color theme="4" tint="-0.499984740745262"/>
      </right>
      <top style="medium">
        <color indexed="64"/>
      </top>
      <bottom style="medium">
        <color theme="3"/>
      </bottom>
      <diagonal/>
    </border>
    <border>
      <left style="thin">
        <color theme="4" tint="-0.499984740745262"/>
      </left>
      <right style="medium">
        <color indexed="64"/>
      </right>
      <top style="medium">
        <color indexed="64"/>
      </top>
      <bottom style="medium">
        <color theme="3"/>
      </bottom>
      <diagonal/>
    </border>
    <border>
      <left style="medium">
        <color indexed="64"/>
      </left>
      <right style="thin">
        <color theme="4" tint="-0.499984740745262"/>
      </right>
      <top style="medium">
        <color theme="3"/>
      </top>
      <bottom style="thin">
        <color theme="4" tint="-0.499984740745262"/>
      </bottom>
      <diagonal/>
    </border>
    <border>
      <left style="thin">
        <color theme="4" tint="-0.499984740745262"/>
      </left>
      <right style="medium">
        <color indexed="64"/>
      </right>
      <top style="medium">
        <color theme="3"/>
      </top>
      <bottom style="thin">
        <color theme="4" tint="-0.499984740745262"/>
      </bottom>
      <diagonal/>
    </border>
    <border>
      <left style="medium">
        <color indexed="64"/>
      </left>
      <right style="thin">
        <color theme="4" tint="-0.499984740745262"/>
      </right>
      <top style="thin">
        <color theme="4" tint="-0.499984740745262"/>
      </top>
      <bottom style="thin">
        <color theme="4" tint="-0.499984740745262"/>
      </bottom>
      <diagonal/>
    </border>
    <border>
      <left style="medium">
        <color indexed="64"/>
      </left>
      <right style="thin">
        <color theme="4" tint="-0.499984740745262"/>
      </right>
      <top style="thin">
        <color theme="4" tint="-0.499984740745262"/>
      </top>
      <bottom style="medium">
        <color indexed="64"/>
      </bottom>
      <diagonal/>
    </border>
    <border>
      <left style="thin">
        <color theme="4" tint="-0.499984740745262"/>
      </left>
      <right style="medium">
        <color theme="3"/>
      </right>
      <top style="thin">
        <color theme="4" tint="-0.499984740745262"/>
      </top>
      <bottom style="medium">
        <color indexed="64"/>
      </bottom>
      <diagonal/>
    </border>
    <border>
      <left style="medium">
        <color indexed="64"/>
      </left>
      <right style="thin">
        <color theme="4" tint="-0.499984740745262"/>
      </right>
      <top style="medium">
        <color indexed="64"/>
      </top>
      <bottom style="medium">
        <color theme="4" tint="-0.499984740745262"/>
      </bottom>
      <diagonal/>
    </border>
    <border>
      <left/>
      <right style="thin">
        <color theme="4" tint="-0.499984740745262"/>
      </right>
      <top style="medium">
        <color indexed="64"/>
      </top>
      <bottom style="medium">
        <color theme="4" tint="-0.499984740745262"/>
      </bottom>
      <diagonal/>
    </border>
    <border>
      <left style="thin">
        <color theme="4" tint="-0.499984740745262"/>
      </left>
      <right style="thin">
        <color theme="4" tint="-0.499984740745262"/>
      </right>
      <top style="medium">
        <color indexed="64"/>
      </top>
      <bottom style="medium">
        <color theme="4" tint="-0.499984740745262"/>
      </bottom>
      <diagonal/>
    </border>
    <border>
      <left style="thin">
        <color theme="4" tint="-0.499984740745262"/>
      </left>
      <right style="medium">
        <color indexed="64"/>
      </right>
      <top style="medium">
        <color indexed="64"/>
      </top>
      <bottom style="medium">
        <color theme="4" tint="-0.499984740745262"/>
      </bottom>
      <diagonal/>
    </border>
    <border>
      <left style="medium">
        <color indexed="64"/>
      </left>
      <right style="thin">
        <color theme="4" tint="-0.499984740745262"/>
      </right>
      <top/>
      <bottom style="thin">
        <color theme="4" tint="-0.499984740745262"/>
      </bottom>
      <diagonal/>
    </border>
    <border>
      <left style="thin">
        <color theme="4" tint="-0.499984740745262"/>
      </left>
      <right style="medium">
        <color indexed="64"/>
      </right>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right style="thin">
        <color theme="4" tint="-0.499984740745262"/>
      </right>
      <top style="thin">
        <color theme="4" tint="-0.499984740745262"/>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medium">
        <color indexed="64"/>
      </left>
      <right/>
      <top style="medium">
        <color indexed="64"/>
      </top>
      <bottom style="medium">
        <color theme="4" tint="-0.499984740745262"/>
      </bottom>
      <diagonal/>
    </border>
    <border>
      <left/>
      <right/>
      <top style="medium">
        <color indexed="64"/>
      </top>
      <bottom style="medium">
        <color theme="4" tint="-0.499984740745262"/>
      </bottom>
      <diagonal/>
    </border>
    <border>
      <left/>
      <right style="medium">
        <color theme="4" tint="-0.499984740745262"/>
      </right>
      <top style="medium">
        <color indexed="64"/>
      </top>
      <bottom style="medium">
        <color theme="4" tint="-0.499984740745262"/>
      </bottom>
      <diagonal/>
    </border>
    <border>
      <left style="medium">
        <color theme="4" tint="-0.499984740745262"/>
      </left>
      <right style="thin">
        <color theme="4" tint="-0.499984740745262"/>
      </right>
      <top style="medium">
        <color indexed="64"/>
      </top>
      <bottom style="medium">
        <color theme="4" tint="-0.499984740745262"/>
      </bottom>
      <diagonal/>
    </border>
    <border>
      <left style="thin">
        <color theme="4" tint="-0.499984740745262"/>
      </left>
      <right style="medium">
        <color theme="4" tint="-0.499984740745262"/>
      </right>
      <top style="medium">
        <color indexed="64"/>
      </top>
      <bottom style="medium">
        <color theme="4" tint="-0.499984740745262"/>
      </bottom>
      <diagonal/>
    </border>
    <border>
      <left style="thin">
        <color theme="4" tint="-0.499984740745262"/>
      </left>
      <right style="medium">
        <color indexed="64"/>
      </right>
      <top style="medium">
        <color indexed="64"/>
      </top>
      <bottom/>
      <diagonal/>
    </border>
    <border>
      <left style="medium">
        <color indexed="64"/>
      </left>
      <right style="thin">
        <color theme="4" tint="-0.499984740745262"/>
      </right>
      <top style="medium">
        <color theme="4" tint="-0.499984740745262"/>
      </top>
      <bottom/>
      <diagonal/>
    </border>
    <border>
      <left style="medium">
        <color indexed="64"/>
      </left>
      <right/>
      <top style="medium">
        <color indexed="64"/>
      </top>
      <bottom style="medium">
        <color theme="4" tint="-0.249977111117893"/>
      </bottom>
      <diagonal/>
    </border>
    <border>
      <left/>
      <right/>
      <top style="medium">
        <color indexed="64"/>
      </top>
      <bottom style="medium">
        <color theme="4" tint="-0.249977111117893"/>
      </bottom>
      <diagonal/>
    </border>
    <border>
      <left/>
      <right style="medium">
        <color indexed="64"/>
      </right>
      <top style="medium">
        <color indexed="64"/>
      </top>
      <bottom style="medium">
        <color theme="4" tint="-0.249977111117893"/>
      </bottom>
      <diagonal/>
    </border>
  </borders>
  <cellStyleXfs count="26">
    <xf numFmtId="0" fontId="0" fillId="0" borderId="0"/>
    <xf numFmtId="0" fontId="68" fillId="0" borderId="45" applyNumberFormat="0" applyFill="0" applyAlignment="0" applyProtection="0"/>
    <xf numFmtId="0" fontId="69" fillId="0" borderId="0" applyNumberFormat="0" applyFill="0" applyBorder="0" applyAlignment="0" applyProtection="0"/>
    <xf numFmtId="0" fontId="57" fillId="0" borderId="0"/>
    <xf numFmtId="0" fontId="48" fillId="0" borderId="0" applyNumberFormat="0" applyFill="0" applyBorder="0" applyAlignment="0" applyProtection="0">
      <alignment vertical="top"/>
      <protection locked="0"/>
    </xf>
    <xf numFmtId="0" fontId="43" fillId="0" borderId="0"/>
    <xf numFmtId="0" fontId="67" fillId="0" borderId="0"/>
    <xf numFmtId="0" fontId="37" fillId="0" borderId="0"/>
    <xf numFmtId="0" fontId="38" fillId="0" borderId="0"/>
    <xf numFmtId="0" fontId="43" fillId="0" borderId="0"/>
    <xf numFmtId="0" fontId="37" fillId="0" borderId="0"/>
    <xf numFmtId="0" fontId="36" fillId="0" borderId="0"/>
    <xf numFmtId="164" fontId="38" fillId="0" borderId="0" applyFont="0" applyFill="0" applyBorder="0" applyAlignment="0" applyProtection="0"/>
    <xf numFmtId="0" fontId="35" fillId="0" borderId="0"/>
    <xf numFmtId="0" fontId="34" fillId="0" borderId="0"/>
    <xf numFmtId="0" fontId="33" fillId="0" borderId="0"/>
    <xf numFmtId="0" fontId="38" fillId="0" borderId="0"/>
    <xf numFmtId="0" fontId="32" fillId="0" borderId="0"/>
    <xf numFmtId="0" fontId="31" fillId="0" borderId="0"/>
    <xf numFmtId="0" fontId="30" fillId="0" borderId="0"/>
    <xf numFmtId="43" fontId="150" fillId="0" borderId="0" applyFont="0" applyFill="0" applyBorder="0" applyAlignment="0" applyProtection="0"/>
    <xf numFmtId="0" fontId="29" fillId="0" borderId="0"/>
    <xf numFmtId="0" fontId="29" fillId="0" borderId="0"/>
    <xf numFmtId="0" fontId="28" fillId="0" borderId="0"/>
    <xf numFmtId="0" fontId="26" fillId="0" borderId="0"/>
    <xf numFmtId="9" fontId="168" fillId="0" borderId="0" applyFont="0" applyFill="0" applyBorder="0" applyAlignment="0" applyProtection="0"/>
  </cellStyleXfs>
  <cellXfs count="1602">
    <xf numFmtId="0" fontId="0" fillId="0" borderId="0" xfId="0"/>
    <xf numFmtId="0" fontId="0" fillId="0" borderId="0" xfId="0" applyBorder="1"/>
    <xf numFmtId="0" fontId="46" fillId="2" borderId="0" xfId="0" applyFont="1" applyFill="1"/>
    <xf numFmtId="0" fontId="50" fillId="0" borderId="0" xfId="0" applyFont="1" applyAlignment="1" applyProtection="1">
      <alignment horizontal="left"/>
      <protection locked="0"/>
    </xf>
    <xf numFmtId="0" fontId="52" fillId="0" borderId="0" xfId="0" applyFont="1" applyAlignment="1" applyProtection="1">
      <alignment horizontal="right"/>
      <protection locked="0"/>
    </xf>
    <xf numFmtId="0" fontId="52" fillId="0" borderId="0" xfId="0" applyFont="1" applyAlignment="1" applyProtection="1">
      <alignment horizontal="left"/>
      <protection locked="0"/>
    </xf>
    <xf numFmtId="0" fontId="53" fillId="0" borderId="0" xfId="0" applyFont="1" applyAlignment="1" applyProtection="1">
      <alignment horizontal="right"/>
      <protection locked="0"/>
    </xf>
    <xf numFmtId="0" fontId="0" fillId="0" borderId="0" xfId="0" applyProtection="1">
      <protection locked="0"/>
    </xf>
    <xf numFmtId="0" fontId="46" fillId="2" borderId="0" xfId="0" applyFont="1" applyFill="1" applyAlignment="1">
      <alignment vertical="top" wrapText="1"/>
    </xf>
    <xf numFmtId="0" fontId="46" fillId="2" borderId="0" xfId="0" applyFont="1" applyFill="1" applyBorder="1" applyAlignment="1">
      <alignment vertical="top" wrapText="1"/>
    </xf>
    <xf numFmtId="0" fontId="49" fillId="0" borderId="0" xfId="10" applyFont="1"/>
    <xf numFmtId="0" fontId="37" fillId="0" borderId="0" xfId="7"/>
    <xf numFmtId="0" fontId="42" fillId="0" borderId="0" xfId="7" applyFont="1" applyAlignment="1">
      <alignment horizontal="center" vertical="center" wrapText="1"/>
    </xf>
    <xf numFmtId="0" fontId="38" fillId="0" borderId="0" xfId="8"/>
    <xf numFmtId="0" fontId="45" fillId="0" borderId="0" xfId="8" applyFont="1" applyBorder="1" applyAlignment="1">
      <alignment vertical="top" wrapText="1"/>
    </xf>
    <xf numFmtId="0" fontId="45" fillId="0" borderId="0" xfId="8" applyFont="1" applyBorder="1" applyAlignment="1">
      <alignment horizontal="left" vertical="top" wrapText="1"/>
    </xf>
    <xf numFmtId="0" fontId="38" fillId="0" borderId="0" xfId="8" applyBorder="1"/>
    <xf numFmtId="0" fontId="38" fillId="3" borderId="0" xfId="8" applyFill="1" applyBorder="1"/>
    <xf numFmtId="0" fontId="71" fillId="0" borderId="0" xfId="1" applyFont="1" applyBorder="1" applyAlignment="1">
      <alignment vertical="center"/>
    </xf>
    <xf numFmtId="0" fontId="80" fillId="0" borderId="0" xfId="0" applyFont="1" applyAlignment="1">
      <alignment horizontal="center" vertical="center"/>
    </xf>
    <xf numFmtId="0" fontId="79" fillId="0" borderId="0" xfId="0" applyFont="1" applyAlignment="1">
      <alignment vertical="center" wrapText="1"/>
    </xf>
    <xf numFmtId="0" fontId="62" fillId="0" borderId="0" xfId="4" applyFont="1" applyBorder="1" applyAlignment="1" applyProtection="1">
      <alignment horizontal="center" vertical="center"/>
    </xf>
    <xf numFmtId="0" fontId="62" fillId="0" borderId="0" xfId="4" applyFont="1" applyBorder="1" applyAlignment="1" applyProtection="1">
      <alignment horizontal="left" vertical="center"/>
    </xf>
    <xf numFmtId="0" fontId="62" fillId="0" borderId="0" xfId="4" applyFont="1" applyBorder="1" applyAlignment="1" applyProtection="1">
      <alignment vertical="center" wrapText="1"/>
    </xf>
    <xf numFmtId="0" fontId="56" fillId="0" borderId="0" xfId="1" applyFont="1" applyBorder="1" applyAlignment="1">
      <alignment horizontal="right" vertical="center"/>
    </xf>
    <xf numFmtId="0" fontId="70" fillId="3" borderId="0" xfId="0" applyFont="1" applyFill="1" applyBorder="1" applyAlignment="1">
      <alignment horizontal="center" vertical="center"/>
    </xf>
    <xf numFmtId="0" fontId="60" fillId="3" borderId="0" xfId="8" applyFont="1" applyFill="1" applyBorder="1" applyAlignment="1">
      <alignment horizontal="center" vertical="center"/>
    </xf>
    <xf numFmtId="0" fontId="60" fillId="3" borderId="0" xfId="8" applyFont="1" applyFill="1" applyBorder="1" applyAlignment="1">
      <alignment horizontal="center" vertical="center" wrapText="1"/>
    </xf>
    <xf numFmtId="0" fontId="46" fillId="3" borderId="0" xfId="0" applyFont="1" applyFill="1" applyBorder="1" applyAlignment="1">
      <alignment vertical="top" wrapText="1"/>
    </xf>
    <xf numFmtId="0" fontId="0" fillId="0" borderId="0" xfId="0"/>
    <xf numFmtId="0" fontId="66" fillId="0" borderId="0" xfId="0" applyFont="1"/>
    <xf numFmtId="0" fontId="0" fillId="0" borderId="0" xfId="0" applyFill="1"/>
    <xf numFmtId="0" fontId="76" fillId="3" borderId="0" xfId="8" applyFont="1" applyFill="1" applyBorder="1" applyAlignment="1">
      <alignment horizontal="center" vertical="center" wrapText="1"/>
    </xf>
    <xf numFmtId="0" fontId="66" fillId="0" borderId="0" xfId="8" applyFont="1"/>
    <xf numFmtId="0" fontId="63" fillId="0" borderId="0" xfId="0" applyFont="1" applyAlignment="1">
      <alignment vertical="center" wrapText="1"/>
    </xf>
    <xf numFmtId="0" fontId="0" fillId="0" borderId="0" xfId="0"/>
    <xf numFmtId="0" fontId="83" fillId="3" borderId="0" xfId="4" applyFont="1" applyFill="1" applyBorder="1" applyAlignment="1" applyProtection="1">
      <alignment horizontal="left" vertical="center"/>
    </xf>
    <xf numFmtId="0" fontId="91" fillId="0" borderId="0" xfId="0" applyFont="1" applyBorder="1"/>
    <xf numFmtId="0" fontId="59" fillId="0" borderId="0" xfId="0" applyFont="1" applyAlignment="1">
      <alignment horizontal="center" vertical="center"/>
    </xf>
    <xf numFmtId="0" fontId="59" fillId="2" borderId="0" xfId="0" applyFont="1" applyFill="1" applyBorder="1"/>
    <xf numFmtId="0" fontId="38" fillId="0" borderId="0" xfId="8" applyFont="1"/>
    <xf numFmtId="0" fontId="46" fillId="2" borderId="0" xfId="8" applyFont="1" applyFill="1" applyAlignment="1">
      <alignment vertical="top" wrapText="1"/>
    </xf>
    <xf numFmtId="0" fontId="46" fillId="2" borderId="0" xfId="8" applyFont="1" applyFill="1"/>
    <xf numFmtId="0" fontId="46" fillId="2" borderId="0" xfId="8" applyFont="1" applyFill="1" applyBorder="1"/>
    <xf numFmtId="0" fontId="78" fillId="0" borderId="0" xfId="8" applyFont="1" applyFill="1" applyBorder="1" applyAlignment="1">
      <alignment horizontal="left" wrapText="1"/>
    </xf>
    <xf numFmtId="0" fontId="73" fillId="2" borderId="0" xfId="8" applyFont="1" applyFill="1" applyBorder="1"/>
    <xf numFmtId="0" fontId="38" fillId="2" borderId="0" xfId="8" applyFont="1" applyFill="1"/>
    <xf numFmtId="0" fontId="38" fillId="2" borderId="0" xfId="8" applyFont="1" applyFill="1" applyBorder="1"/>
    <xf numFmtId="0" fontId="38" fillId="3" borderId="0" xfId="8" applyFont="1" applyFill="1"/>
    <xf numFmtId="0" fontId="87" fillId="3" borderId="0" xfId="8" applyFont="1" applyFill="1"/>
    <xf numFmtId="0" fontId="44" fillId="0" borderId="8" xfId="8" applyFont="1" applyFill="1" applyBorder="1" applyAlignment="1">
      <alignment vertical="center" wrapText="1"/>
    </xf>
    <xf numFmtId="0" fontId="44" fillId="0" borderId="47" xfId="8" applyFont="1" applyFill="1" applyBorder="1" applyAlignment="1">
      <alignment vertical="center" wrapText="1"/>
    </xf>
    <xf numFmtId="0" fontId="38" fillId="0" borderId="0" xfId="8" applyAlignment="1">
      <alignment horizontal="center"/>
    </xf>
    <xf numFmtId="0" fontId="47" fillId="0" borderId="0" xfId="8" applyFont="1"/>
    <xf numFmtId="0" fontId="56" fillId="3" borderId="0" xfId="1" applyFont="1" applyFill="1" applyBorder="1" applyAlignment="1">
      <alignment horizontal="right" vertical="center"/>
    </xf>
    <xf numFmtId="0" fontId="54" fillId="2" borderId="0" xfId="8" applyFont="1" applyFill="1"/>
    <xf numFmtId="0" fontId="42" fillId="2" borderId="5" xfId="8" applyFont="1" applyFill="1" applyBorder="1" applyAlignment="1">
      <alignment vertical="center" wrapText="1"/>
    </xf>
    <xf numFmtId="0" fontId="42" fillId="3" borderId="0" xfId="8" applyFont="1" applyFill="1" applyBorder="1" applyAlignment="1">
      <alignment vertical="center"/>
    </xf>
    <xf numFmtId="0" fontId="54" fillId="0" borderId="0" xfId="8" applyFont="1" applyFill="1"/>
    <xf numFmtId="0" fontId="35" fillId="0" borderId="0" xfId="13"/>
    <xf numFmtId="0" fontId="66" fillId="3" borderId="0" xfId="0" applyFont="1" applyFill="1" applyBorder="1" applyAlignment="1">
      <alignment horizontal="center" vertical="center" wrapText="1"/>
    </xf>
    <xf numFmtId="0" fontId="66" fillId="0" borderId="0" xfId="8" applyFont="1" applyAlignment="1"/>
    <xf numFmtId="0" fontId="90" fillId="0" borderId="0" xfId="0" applyFont="1" applyAlignment="1">
      <alignment horizontal="center" vertical="center"/>
    </xf>
    <xf numFmtId="0" fontId="100" fillId="0" borderId="0" xfId="0" applyFont="1" applyAlignment="1">
      <alignment horizontal="left" vertical="center"/>
    </xf>
    <xf numFmtId="0" fontId="100" fillId="0" borderId="0" xfId="0" applyFont="1" applyAlignment="1">
      <alignment horizontal="left" vertical="center" wrapText="1"/>
    </xf>
    <xf numFmtId="0" fontId="100" fillId="0" borderId="0" xfId="0" applyFont="1"/>
    <xf numFmtId="0" fontId="76" fillId="3" borderId="0" xfId="8" applyFont="1" applyFill="1" applyBorder="1" applyAlignment="1">
      <alignment horizontal="center" vertical="center" wrapText="1"/>
    </xf>
    <xf numFmtId="0" fontId="81" fillId="3" borderId="0" xfId="8" quotePrefix="1" applyFont="1" applyFill="1" applyBorder="1" applyAlignment="1">
      <alignment horizontal="center" vertical="center" wrapText="1"/>
    </xf>
    <xf numFmtId="0" fontId="0" fillId="0" borderId="0" xfId="0" applyAlignment="1">
      <alignment wrapText="1"/>
    </xf>
    <xf numFmtId="0" fontId="59" fillId="0" borderId="0" xfId="0" applyFont="1" applyBorder="1" applyAlignment="1">
      <alignment vertical="center" wrapText="1"/>
    </xf>
    <xf numFmtId="0" fontId="117" fillId="2" borderId="0" xfId="8" applyFont="1" applyFill="1" applyBorder="1" applyAlignment="1">
      <alignment vertical="top"/>
    </xf>
    <xf numFmtId="0" fontId="118" fillId="0" borderId="0" xfId="8" applyFont="1" applyFill="1" applyBorder="1" applyAlignment="1">
      <alignment wrapText="1"/>
    </xf>
    <xf numFmtId="0" fontId="119" fillId="0" borderId="0" xfId="8" applyFont="1"/>
    <xf numFmtId="0" fontId="122" fillId="2" borderId="0" xfId="8" applyFont="1" applyFill="1" applyBorder="1" applyAlignment="1">
      <alignment wrapText="1"/>
    </xf>
    <xf numFmtId="0" fontId="124" fillId="0" borderId="0" xfId="0" applyFont="1" applyFill="1" applyBorder="1" applyAlignment="1">
      <alignment horizontal="center" vertical="center" wrapText="1"/>
    </xf>
    <xf numFmtId="0" fontId="41" fillId="0" borderId="0" xfId="0" applyFont="1" applyFill="1" applyAlignment="1">
      <alignment horizontal="center" vertical="center"/>
    </xf>
    <xf numFmtId="0" fontId="38" fillId="0" borderId="0" xfId="8" applyFill="1"/>
    <xf numFmtId="0" fontId="41" fillId="0" borderId="89" xfId="0" applyFont="1" applyBorder="1" applyAlignment="1">
      <alignment horizontal="center" vertical="center"/>
    </xf>
    <xf numFmtId="0" fontId="124" fillId="0" borderId="0" xfId="0" applyFont="1" applyFill="1" applyBorder="1" applyAlignment="1">
      <alignment horizontal="center" vertical="center"/>
    </xf>
    <xf numFmtId="0" fontId="124" fillId="0" borderId="86" xfId="0" applyFont="1" applyFill="1" applyBorder="1" applyAlignment="1">
      <alignment horizontal="center" vertical="center"/>
    </xf>
    <xf numFmtId="0" fontId="62" fillId="0" borderId="0" xfId="4" applyFont="1" applyFill="1" applyBorder="1" applyAlignment="1" applyProtection="1">
      <alignment vertical="center" wrapText="1"/>
    </xf>
    <xf numFmtId="0" fontId="64" fillId="0" borderId="0" xfId="2" applyFont="1" applyFill="1" applyBorder="1" applyAlignment="1">
      <alignment vertical="center" wrapText="1"/>
    </xf>
    <xf numFmtId="0" fontId="38" fillId="0" borderId="0" xfId="8" applyBorder="1" applyAlignment="1">
      <alignment horizontal="center"/>
    </xf>
    <xf numFmtId="0" fontId="47" fillId="0" borderId="79" xfId="8" applyFont="1" applyBorder="1"/>
    <xf numFmtId="0" fontId="41" fillId="0" borderId="85" xfId="0" applyFont="1" applyBorder="1" applyAlignment="1">
      <alignment horizontal="right" vertical="center"/>
    </xf>
    <xf numFmtId="0" fontId="72" fillId="0" borderId="0" xfId="1" applyFont="1" applyBorder="1" applyAlignment="1">
      <alignment vertical="center"/>
    </xf>
    <xf numFmtId="0" fontId="124" fillId="0" borderId="0" xfId="0" applyFont="1" applyFill="1" applyBorder="1" applyAlignment="1">
      <alignment vertical="center" wrapText="1"/>
    </xf>
    <xf numFmtId="0" fontId="58" fillId="0" borderId="14" xfId="0" applyFont="1" applyFill="1" applyBorder="1" applyAlignment="1">
      <alignment horizontal="center" vertical="center" wrapText="1"/>
    </xf>
    <xf numFmtId="0" fontId="132" fillId="0" borderId="0" xfId="0" applyFont="1" applyFill="1" applyBorder="1" applyAlignment="1">
      <alignment vertical="center" textRotation="90" wrapText="1"/>
    </xf>
    <xf numFmtId="0" fontId="46" fillId="0" borderId="47" xfId="8" applyFont="1" applyFill="1" applyBorder="1" applyAlignment="1">
      <alignment vertical="top" wrapText="1"/>
    </xf>
    <xf numFmtId="0" fontId="136" fillId="3" borderId="47" xfId="8" applyFont="1" applyFill="1" applyBorder="1" applyAlignment="1">
      <alignment horizontal="center" vertical="center" wrapText="1"/>
    </xf>
    <xf numFmtId="0" fontId="135" fillId="3" borderId="47" xfId="8" applyFont="1" applyFill="1" applyBorder="1" applyAlignment="1">
      <alignment horizontal="center" vertical="center" wrapText="1"/>
    </xf>
    <xf numFmtId="0" fontId="46" fillId="0" borderId="8" xfId="8" applyFont="1" applyFill="1" applyBorder="1" applyAlignment="1">
      <alignment vertical="top" wrapText="1"/>
    </xf>
    <xf numFmtId="0" fontId="136" fillId="3" borderId="8" xfId="8" applyFont="1" applyFill="1" applyBorder="1" applyAlignment="1">
      <alignment horizontal="center" vertical="center" wrapText="1"/>
    </xf>
    <xf numFmtId="0" fontId="135" fillId="3" borderId="8" xfId="8" applyFont="1" applyFill="1" applyBorder="1" applyAlignment="1">
      <alignment horizontal="center" vertical="center" wrapText="1"/>
    </xf>
    <xf numFmtId="0" fontId="58" fillId="0" borderId="37" xfId="0" applyFont="1" applyFill="1" applyBorder="1" applyAlignment="1">
      <alignment horizontal="center" vertical="center" wrapText="1"/>
    </xf>
    <xf numFmtId="0" fontId="95" fillId="3" borderId="0" xfId="8" applyFont="1" applyFill="1" applyBorder="1" applyAlignment="1">
      <alignment horizontal="center" vertical="center"/>
    </xf>
    <xf numFmtId="0" fontId="38" fillId="0" borderId="0" xfId="8" applyBorder="1" applyAlignment="1">
      <alignment vertical="center" wrapText="1"/>
    </xf>
    <xf numFmtId="0" fontId="46" fillId="0" borderId="4" xfId="8" applyFont="1" applyFill="1" applyBorder="1" applyAlignment="1">
      <alignment vertical="top" wrapText="1"/>
    </xf>
    <xf numFmtId="0" fontId="46" fillId="0" borderId="24" xfId="8" applyFont="1" applyFill="1" applyBorder="1" applyAlignment="1">
      <alignment vertical="top" wrapText="1"/>
    </xf>
    <xf numFmtId="0" fontId="46" fillId="0" borderId="5" xfId="8" applyFont="1" applyFill="1" applyBorder="1" applyAlignment="1">
      <alignment vertical="top" wrapText="1"/>
    </xf>
    <xf numFmtId="0" fontId="46" fillId="0" borderId="6" xfId="8" applyFont="1" applyFill="1" applyBorder="1" applyAlignment="1">
      <alignment vertical="top" wrapText="1"/>
    </xf>
    <xf numFmtId="0" fontId="85" fillId="7" borderId="6" xfId="8" applyFont="1" applyFill="1" applyBorder="1" applyAlignment="1">
      <alignment vertical="center" wrapText="1"/>
    </xf>
    <xf numFmtId="164" fontId="98" fillId="23" borderId="33" xfId="8" applyNumberFormat="1" applyFont="1" applyFill="1" applyBorder="1" applyAlignment="1">
      <alignment vertical="center" wrapText="1"/>
    </xf>
    <xf numFmtId="0" fontId="38" fillId="0" borderId="111" xfId="8" applyBorder="1" applyAlignment="1">
      <alignment vertical="center" wrapText="1"/>
    </xf>
    <xf numFmtId="0" fontId="38" fillId="0" borderId="41" xfId="8" applyBorder="1"/>
    <xf numFmtId="0" fontId="94" fillId="0" borderId="0" xfId="2" applyFont="1" applyBorder="1" applyAlignment="1"/>
    <xf numFmtId="0" fontId="124" fillId="19" borderId="0" xfId="0" applyFont="1" applyFill="1" applyBorder="1" applyAlignment="1">
      <alignment vertical="center" wrapText="1"/>
    </xf>
    <xf numFmtId="0" fontId="38" fillId="0" borderId="23" xfId="8" applyFont="1" applyBorder="1" applyAlignment="1">
      <alignment horizontal="center" vertical="center" wrapText="1"/>
    </xf>
    <xf numFmtId="0" fontId="38" fillId="0" borderId="1" xfId="8" applyFont="1" applyBorder="1" applyAlignment="1">
      <alignment horizontal="center" vertical="center" wrapText="1"/>
    </xf>
    <xf numFmtId="0" fontId="93" fillId="3" borderId="2" xfId="8" applyFont="1" applyFill="1" applyBorder="1" applyAlignment="1">
      <alignment horizontal="center" vertical="center" wrapText="1"/>
    </xf>
    <xf numFmtId="0" fontId="58" fillId="0" borderId="35" xfId="0" applyFont="1" applyFill="1" applyBorder="1" applyAlignment="1">
      <alignment horizontal="center" vertical="center" wrapText="1"/>
    </xf>
    <xf numFmtId="0" fontId="93" fillId="3" borderId="1" xfId="8" applyFont="1" applyFill="1" applyBorder="1" applyAlignment="1">
      <alignment horizontal="center" vertical="center" wrapText="1"/>
    </xf>
    <xf numFmtId="0" fontId="66" fillId="3" borderId="2" xfId="8" applyFont="1" applyFill="1" applyBorder="1" applyAlignment="1">
      <alignment horizontal="center" vertical="center" wrapText="1"/>
    </xf>
    <xf numFmtId="0" fontId="38" fillId="4" borderId="23" xfId="8" applyFont="1" applyFill="1" applyBorder="1" applyAlignment="1">
      <alignment horizontal="center" vertical="center" wrapText="1"/>
    </xf>
    <xf numFmtId="0" fontId="38" fillId="4" borderId="7" xfId="8" applyFont="1" applyFill="1" applyBorder="1" applyAlignment="1">
      <alignment horizontal="center" vertical="center" wrapText="1"/>
    </xf>
    <xf numFmtId="0" fontId="42" fillId="2" borderId="3" xfId="8" applyFont="1" applyFill="1" applyBorder="1" applyAlignment="1">
      <alignment vertical="center" wrapText="1"/>
    </xf>
    <xf numFmtId="0" fontId="42" fillId="2" borderId="115" xfId="8" applyFont="1" applyFill="1" applyBorder="1" applyAlignment="1">
      <alignment vertical="center" wrapText="1"/>
    </xf>
    <xf numFmtId="0" fontId="42" fillId="2" borderId="104" xfId="8" applyFont="1" applyFill="1" applyBorder="1" applyAlignment="1">
      <alignment vertical="center" wrapText="1"/>
    </xf>
    <xf numFmtId="0" fontId="54" fillId="2" borderId="57" xfId="8" applyFont="1" applyFill="1" applyBorder="1" applyAlignment="1">
      <alignment vertical="center" wrapText="1"/>
    </xf>
    <xf numFmtId="0" fontId="42" fillId="4" borderId="19" xfId="8" applyFont="1" applyFill="1" applyBorder="1" applyAlignment="1">
      <alignment vertical="center" wrapText="1"/>
    </xf>
    <xf numFmtId="0" fontId="42" fillId="4" borderId="21" xfId="8" applyFont="1" applyFill="1" applyBorder="1" applyAlignment="1">
      <alignment vertical="center" wrapText="1"/>
    </xf>
    <xf numFmtId="0" fontId="42" fillId="2" borderId="114" xfId="8" applyFont="1" applyFill="1" applyBorder="1" applyAlignment="1">
      <alignment vertical="center" wrapText="1"/>
    </xf>
    <xf numFmtId="0" fontId="42" fillId="4" borderId="31" xfId="8" applyFont="1" applyFill="1" applyBorder="1" applyAlignment="1">
      <alignment vertical="center" wrapText="1"/>
    </xf>
    <xf numFmtId="0" fontId="42" fillId="4" borderId="50" xfId="8" applyFont="1" applyFill="1" applyBorder="1" applyAlignment="1">
      <alignment vertical="center" wrapText="1"/>
    </xf>
    <xf numFmtId="0" fontId="95" fillId="3" borderId="0" xfId="8" applyFont="1" applyFill="1" applyBorder="1" applyAlignment="1">
      <alignment vertical="center"/>
    </xf>
    <xf numFmtId="0" fontId="40" fillId="0" borderId="0" xfId="8" applyFont="1" applyFill="1" applyBorder="1" applyAlignment="1">
      <alignment horizontal="center" wrapText="1"/>
    </xf>
    <xf numFmtId="0" fontId="124" fillId="3" borderId="0" xfId="0" applyFont="1" applyFill="1" applyBorder="1" applyAlignment="1">
      <alignment vertical="center" wrapText="1"/>
    </xf>
    <xf numFmtId="0" fontId="51" fillId="0" borderId="0" xfId="0" applyFont="1" applyAlignment="1" applyProtection="1">
      <alignment horizontal="center" vertical="center" wrapText="1"/>
      <protection locked="0"/>
    </xf>
    <xf numFmtId="0" fontId="85" fillId="15" borderId="2" xfId="8" applyFont="1" applyFill="1" applyBorder="1" applyAlignment="1">
      <alignment horizontal="center" vertical="center" wrapText="1"/>
    </xf>
    <xf numFmtId="0" fontId="85" fillId="15" borderId="1" xfId="8" applyFont="1" applyFill="1" applyBorder="1" applyAlignment="1">
      <alignment horizontal="center" vertical="center" wrapText="1"/>
    </xf>
    <xf numFmtId="0" fontId="85" fillId="15" borderId="7" xfId="8" applyFont="1" applyFill="1" applyBorder="1" applyAlignment="1">
      <alignment horizontal="center" vertical="center" wrapText="1"/>
    </xf>
    <xf numFmtId="0" fontId="143" fillId="23" borderId="53" xfId="8" applyFont="1" applyFill="1" applyBorder="1" applyAlignment="1">
      <alignment horizontal="center" vertical="center" wrapText="1"/>
    </xf>
    <xf numFmtId="0" fontId="143" fillId="23" borderId="110" xfId="8" applyFont="1" applyFill="1" applyBorder="1" applyAlignment="1">
      <alignment horizontal="center" vertical="center" wrapText="1"/>
    </xf>
    <xf numFmtId="0" fontId="35" fillId="0" borderId="0" xfId="13" applyAlignment="1">
      <alignment horizontal="left"/>
    </xf>
    <xf numFmtId="0" fontId="86" fillId="0" borderId="36" xfId="10" applyFont="1" applyFill="1" applyBorder="1" applyAlignment="1">
      <alignment vertical="center" textRotation="90" wrapText="1"/>
    </xf>
    <xf numFmtId="0" fontId="86" fillId="0" borderId="0" xfId="10" applyFont="1" applyFill="1" applyBorder="1" applyAlignment="1">
      <alignment vertical="center" textRotation="90" wrapText="1"/>
    </xf>
    <xf numFmtId="0" fontId="86" fillId="0" borderId="27" xfId="10" applyFont="1" applyFill="1" applyBorder="1" applyAlignment="1">
      <alignment vertical="center" textRotation="90" wrapText="1"/>
    </xf>
    <xf numFmtId="0" fontId="85" fillId="0" borderId="36" xfId="8" applyFont="1" applyFill="1" applyBorder="1" applyAlignment="1">
      <alignment vertical="center" wrapText="1"/>
    </xf>
    <xf numFmtId="0" fontId="86" fillId="8" borderId="33" xfId="10" applyFont="1" applyFill="1" applyBorder="1" applyAlignment="1">
      <alignment vertical="center" textRotation="90" wrapText="1"/>
    </xf>
    <xf numFmtId="0" fontId="86" fillId="3" borderId="34" xfId="10" applyFont="1" applyFill="1" applyBorder="1" applyAlignment="1">
      <alignment vertical="center" textRotation="90" wrapText="1"/>
    </xf>
    <xf numFmtId="0" fontId="38" fillId="3" borderId="23" xfId="8" applyFont="1" applyFill="1" applyBorder="1" applyAlignment="1">
      <alignment horizontal="center" vertical="center" wrapText="1"/>
    </xf>
    <xf numFmtId="0" fontId="84" fillId="3" borderId="0" xfId="8" applyFont="1" applyFill="1" applyBorder="1" applyAlignment="1">
      <alignment horizontal="center" vertical="center" wrapText="1"/>
    </xf>
    <xf numFmtId="0" fontId="38" fillId="0" borderId="0" xfId="8" applyFont="1" applyFill="1"/>
    <xf numFmtId="0" fontId="58" fillId="0" borderId="24" xfId="0" applyFont="1" applyFill="1" applyBorder="1" applyAlignment="1">
      <alignment horizontal="center" vertical="center" wrapText="1"/>
    </xf>
    <xf numFmtId="0" fontId="44" fillId="3" borderId="5" xfId="8" applyFont="1" applyFill="1" applyBorder="1" applyAlignment="1">
      <alignment horizontal="center" vertical="center" wrapText="1"/>
    </xf>
    <xf numFmtId="0" fontId="38" fillId="0" borderId="6" xfId="8" applyBorder="1"/>
    <xf numFmtId="0" fontId="44" fillId="3" borderId="2" xfId="8" applyFont="1" applyFill="1" applyBorder="1" applyAlignment="1">
      <alignment horizontal="center" vertical="center" wrapText="1"/>
    </xf>
    <xf numFmtId="0" fontId="44" fillId="0" borderId="1" xfId="8" applyFont="1" applyFill="1" applyBorder="1" applyAlignment="1">
      <alignment vertical="center" wrapText="1"/>
    </xf>
    <xf numFmtId="0" fontId="38" fillId="0" borderId="7" xfId="8" applyBorder="1"/>
    <xf numFmtId="0" fontId="44" fillId="3" borderId="12" xfId="8" applyFont="1" applyFill="1" applyBorder="1" applyAlignment="1">
      <alignment horizontal="center" vertical="center" wrapText="1"/>
    </xf>
    <xf numFmtId="0" fontId="44" fillId="0" borderId="116" xfId="8" applyFont="1" applyFill="1" applyBorder="1" applyAlignment="1">
      <alignment horizontal="center" vertical="center" wrapText="1"/>
    </xf>
    <xf numFmtId="0" fontId="44" fillId="0" borderId="110" xfId="8" applyFont="1" applyFill="1" applyBorder="1" applyAlignment="1">
      <alignment horizontal="center" vertical="center" wrapText="1"/>
    </xf>
    <xf numFmtId="0" fontId="142" fillId="3" borderId="3" xfId="8" applyFont="1" applyFill="1" applyBorder="1" applyAlignment="1"/>
    <xf numFmtId="0" fontId="142" fillId="3" borderId="5" xfId="8" applyFont="1" applyFill="1" applyBorder="1" applyAlignment="1">
      <alignment vertical="center" wrapText="1"/>
    </xf>
    <xf numFmtId="0" fontId="142" fillId="3" borderId="2" xfId="8" applyFont="1" applyFill="1" applyBorder="1" applyAlignment="1">
      <alignment vertical="center" wrapText="1"/>
    </xf>
    <xf numFmtId="0" fontId="50" fillId="0" borderId="0" xfId="0" applyFont="1" applyFill="1" applyBorder="1" applyAlignment="1" applyProtection="1">
      <alignment horizontal="left"/>
      <protection locked="0"/>
    </xf>
    <xf numFmtId="0" fontId="141" fillId="11" borderId="14" xfId="8" applyFont="1" applyFill="1" applyBorder="1" applyAlignment="1">
      <alignment horizontal="center"/>
    </xf>
    <xf numFmtId="0" fontId="31" fillId="0" borderId="0" xfId="18"/>
    <xf numFmtId="0" fontId="31" fillId="0" borderId="0" xfId="18" applyAlignment="1">
      <alignment horizontal="center"/>
    </xf>
    <xf numFmtId="2" fontId="31" fillId="0" borderId="0" xfId="18" applyNumberFormat="1"/>
    <xf numFmtId="0" fontId="31" fillId="0" borderId="0" xfId="18" applyFill="1" applyBorder="1"/>
    <xf numFmtId="0" fontId="31" fillId="0" borderId="0" xfId="18" applyFill="1" applyBorder="1" applyAlignment="1">
      <alignment vertical="center" wrapText="1"/>
    </xf>
    <xf numFmtId="0" fontId="31" fillId="0" borderId="0" xfId="18" applyBorder="1"/>
    <xf numFmtId="0" fontId="31" fillId="0" borderId="0" xfId="18" applyBorder="1" applyAlignment="1">
      <alignment horizontal="center"/>
    </xf>
    <xf numFmtId="0" fontId="31" fillId="0" borderId="0" xfId="18" applyFill="1" applyBorder="1" applyAlignment="1">
      <alignment vertical="center"/>
    </xf>
    <xf numFmtId="0" fontId="106" fillId="0" borderId="0" xfId="18" applyFont="1"/>
    <xf numFmtId="0" fontId="31" fillId="0" borderId="0" xfId="18" applyBorder="1" applyAlignment="1">
      <alignment vertical="center" wrapText="1"/>
    </xf>
    <xf numFmtId="0" fontId="114" fillId="0" borderId="0" xfId="18" applyFont="1" applyFill="1" applyBorder="1" applyAlignment="1">
      <alignment vertical="center" wrapText="1"/>
    </xf>
    <xf numFmtId="1" fontId="113" fillId="0" borderId="0" xfId="18" applyNumberFormat="1" applyFont="1" applyFill="1" applyBorder="1" applyAlignment="1">
      <alignment horizontal="center" vertical="center"/>
    </xf>
    <xf numFmtId="2" fontId="112" fillId="0" borderId="95" xfId="18" applyNumberFormat="1" applyFont="1" applyFill="1" applyBorder="1" applyAlignment="1">
      <alignment vertical="center"/>
    </xf>
    <xf numFmtId="0" fontId="31" fillId="0" borderId="0" xfId="18" applyFill="1"/>
    <xf numFmtId="1" fontId="113" fillId="0" borderId="93" xfId="18" applyNumberFormat="1" applyFont="1" applyFill="1" applyBorder="1" applyAlignment="1">
      <alignment horizontal="center" vertical="center"/>
    </xf>
    <xf numFmtId="1" fontId="113" fillId="0" borderId="64" xfId="18" applyNumberFormat="1" applyFont="1" applyFill="1" applyBorder="1" applyAlignment="1">
      <alignment horizontal="center" vertical="center"/>
    </xf>
    <xf numFmtId="1" fontId="112" fillId="0" borderId="92" xfId="18" applyNumberFormat="1" applyFont="1" applyFill="1" applyBorder="1" applyAlignment="1">
      <alignment horizontal="center" vertical="center"/>
    </xf>
    <xf numFmtId="2" fontId="112" fillId="16" borderId="94" xfId="18" applyNumberFormat="1" applyFont="1" applyFill="1" applyBorder="1" applyAlignment="1">
      <alignment vertical="center"/>
    </xf>
    <xf numFmtId="0" fontId="106" fillId="0" borderId="0" xfId="18" applyFont="1" applyFill="1"/>
    <xf numFmtId="0" fontId="106" fillId="0" borderId="0" xfId="18" applyFont="1" applyFill="1" applyBorder="1"/>
    <xf numFmtId="0" fontId="106" fillId="0" borderId="0" xfId="18" applyFont="1" applyFill="1" applyBorder="1" applyAlignment="1">
      <alignment vertical="center" wrapText="1"/>
    </xf>
    <xf numFmtId="0" fontId="110" fillId="0" borderId="0" xfId="18" applyFont="1" applyFill="1" applyBorder="1" applyAlignment="1">
      <alignment vertical="center" wrapText="1"/>
    </xf>
    <xf numFmtId="0" fontId="106" fillId="0" borderId="0" xfId="18" applyFont="1" applyAlignment="1">
      <alignment horizontal="center"/>
    </xf>
    <xf numFmtId="0" fontId="31" fillId="0" borderId="0" xfId="18" applyAlignment="1">
      <alignment vertical="center"/>
    </xf>
    <xf numFmtId="0" fontId="103" fillId="0" borderId="0" xfId="18" applyFont="1" applyFill="1" applyBorder="1" applyAlignment="1"/>
    <xf numFmtId="0" fontId="30" fillId="0" borderId="0" xfId="19"/>
    <xf numFmtId="0" fontId="148" fillId="0" borderId="47" xfId="19" applyFont="1" applyBorder="1" applyAlignment="1">
      <alignment horizontal="center" vertical="center"/>
    </xf>
    <xf numFmtId="0" fontId="149" fillId="0" borderId="0" xfId="19" applyFont="1"/>
    <xf numFmtId="0" fontId="149" fillId="3" borderId="0" xfId="19" applyFont="1" applyFill="1"/>
    <xf numFmtId="0" fontId="148" fillId="3" borderId="0" xfId="19" applyFont="1" applyFill="1"/>
    <xf numFmtId="0" fontId="60" fillId="0" borderId="0" xfId="0" applyFont="1" applyBorder="1" applyAlignment="1">
      <alignment vertical="center"/>
    </xf>
    <xf numFmtId="0" fontId="60" fillId="0" borderId="47" xfId="0" applyFont="1" applyFill="1" applyBorder="1" applyAlignment="1">
      <alignment horizontal="justify" vertical="center" wrapText="1"/>
    </xf>
    <xf numFmtId="0" fontId="60" fillId="0" borderId="129" xfId="0" applyFont="1" applyFill="1" applyBorder="1" applyAlignment="1">
      <alignment horizontal="center" vertical="center" wrapText="1"/>
    </xf>
    <xf numFmtId="0" fontId="59" fillId="0" borderId="130" xfId="0" applyFont="1" applyFill="1" applyBorder="1" applyAlignment="1">
      <alignment horizontal="center" vertical="center" wrapText="1"/>
    </xf>
    <xf numFmtId="0" fontId="60" fillId="0" borderId="131" xfId="0" applyFont="1" applyFill="1" applyBorder="1" applyAlignment="1">
      <alignment horizontal="center" vertical="center" wrapText="1"/>
    </xf>
    <xf numFmtId="0" fontId="59" fillId="0" borderId="132" xfId="0" applyFont="1" applyFill="1" applyBorder="1" applyAlignment="1">
      <alignment horizontal="center" vertical="center" wrapText="1"/>
    </xf>
    <xf numFmtId="0" fontId="60" fillId="0" borderId="133" xfId="0" applyFont="1" applyFill="1" applyBorder="1" applyAlignment="1">
      <alignment horizontal="center" vertical="center" wrapText="1"/>
    </xf>
    <xf numFmtId="0" fontId="59" fillId="0" borderId="134" xfId="0" applyFont="1" applyFill="1" applyBorder="1" applyAlignment="1">
      <alignment horizontal="center" vertical="center" wrapText="1"/>
    </xf>
    <xf numFmtId="0" fontId="72" fillId="0" borderId="0" xfId="1" applyFont="1" applyBorder="1" applyAlignment="1">
      <alignment horizontal="center" vertical="center"/>
    </xf>
    <xf numFmtId="0" fontId="66" fillId="0" borderId="0" xfId="0" applyFont="1" applyBorder="1"/>
    <xf numFmtId="0" fontId="156" fillId="3" borderId="0" xfId="0" applyFont="1" applyFill="1" applyAlignment="1" applyProtection="1">
      <alignment horizontal="right"/>
      <protection locked="0"/>
    </xf>
    <xf numFmtId="0" fontId="156" fillId="3" borderId="0" xfId="0" applyFont="1" applyFill="1" applyAlignment="1" applyProtection="1">
      <alignment horizontal="center"/>
      <protection locked="0"/>
    </xf>
    <xf numFmtId="0" fontId="58" fillId="12" borderId="78" xfId="0" applyFont="1" applyFill="1" applyBorder="1" applyAlignment="1">
      <alignment horizontal="center" vertical="center"/>
    </xf>
    <xf numFmtId="0" fontId="38" fillId="22" borderId="87" xfId="8" applyFill="1" applyBorder="1" applyAlignment="1">
      <alignment horizontal="center" vertical="center"/>
    </xf>
    <xf numFmtId="0" fontId="70" fillId="22" borderId="89" xfId="0" applyFont="1" applyFill="1" applyBorder="1" applyAlignment="1">
      <alignment horizontal="center" vertical="center"/>
    </xf>
    <xf numFmtId="0" fontId="81" fillId="12" borderId="90" xfId="0" applyFont="1" applyFill="1" applyBorder="1" applyAlignment="1">
      <alignment horizontal="center" vertical="center" wrapText="1"/>
    </xf>
    <xf numFmtId="0" fontId="81" fillId="12" borderId="88" xfId="0" applyFont="1" applyFill="1" applyBorder="1" applyAlignment="1">
      <alignment horizontal="center" vertical="center"/>
    </xf>
    <xf numFmtId="0" fontId="81" fillId="12" borderId="88" xfId="0" applyFont="1" applyFill="1" applyBorder="1" applyAlignment="1">
      <alignment horizontal="center" vertical="center" wrapText="1"/>
    </xf>
    <xf numFmtId="0" fontId="59" fillId="12" borderId="88" xfId="8" applyFont="1" applyFill="1" applyBorder="1" applyAlignment="1">
      <alignment horizontal="center" vertical="center"/>
    </xf>
    <xf numFmtId="0" fontId="59" fillId="12" borderId="89" xfId="8" applyFont="1" applyFill="1" applyBorder="1" applyAlignment="1">
      <alignment horizontal="center" vertical="center" wrapText="1"/>
    </xf>
    <xf numFmtId="0" fontId="30" fillId="12" borderId="17" xfId="19" applyFill="1" applyBorder="1"/>
    <xf numFmtId="0" fontId="60" fillId="26" borderId="2" xfId="8" applyFont="1" applyFill="1" applyBorder="1" applyAlignment="1">
      <alignment horizontal="center" vertical="center" wrapText="1"/>
    </xf>
    <xf numFmtId="0" fontId="60" fillId="26" borderId="1" xfId="8" applyFont="1" applyFill="1" applyBorder="1" applyAlignment="1">
      <alignment horizontal="center" vertical="center" wrapText="1"/>
    </xf>
    <xf numFmtId="0" fontId="138" fillId="26" borderId="1" xfId="8" applyFont="1" applyFill="1" applyBorder="1" applyAlignment="1">
      <alignment horizontal="center" vertical="center" wrapText="1"/>
    </xf>
    <xf numFmtId="0" fontId="60" fillId="26" borderId="7" xfId="8" applyFont="1" applyFill="1" applyBorder="1" applyAlignment="1">
      <alignment horizontal="center" vertical="center" wrapText="1"/>
    </xf>
    <xf numFmtId="0" fontId="137" fillId="22" borderId="14" xfId="8" applyFont="1" applyFill="1" applyBorder="1" applyAlignment="1">
      <alignment horizontal="center" vertical="center" wrapText="1"/>
    </xf>
    <xf numFmtId="0" fontId="85" fillId="3" borderId="0" xfId="21" applyFont="1" applyFill="1"/>
    <xf numFmtId="0" fontId="83" fillId="3" borderId="0" xfId="21" applyFont="1" applyFill="1"/>
    <xf numFmtId="0" fontId="85" fillId="3" borderId="0" xfId="21" applyFont="1" applyFill="1" applyBorder="1"/>
    <xf numFmtId="0" fontId="66" fillId="0" borderId="0" xfId="8" applyFont="1" applyFill="1" applyBorder="1"/>
    <xf numFmtId="0" fontId="66" fillId="0" borderId="27" xfId="8" applyFont="1" applyFill="1" applyBorder="1"/>
    <xf numFmtId="0" fontId="66" fillId="0" borderId="17" xfId="8" applyFont="1" applyFill="1" applyBorder="1"/>
    <xf numFmtId="0" fontId="66" fillId="0" borderId="28" xfId="8" applyFont="1" applyFill="1" applyBorder="1"/>
    <xf numFmtId="0" fontId="138" fillId="27" borderId="49" xfId="8" applyFont="1" applyFill="1" applyBorder="1" applyAlignment="1">
      <alignment horizontal="center" vertical="center" textRotation="90" wrapText="1"/>
    </xf>
    <xf numFmtId="0" fontId="138" fillId="27" borderId="21" xfId="8" applyFont="1" applyFill="1" applyBorder="1" applyAlignment="1">
      <alignment horizontal="center" vertical="center" textRotation="90" wrapText="1"/>
    </xf>
    <xf numFmtId="0" fontId="85" fillId="31" borderId="2" xfId="8" applyFont="1" applyFill="1" applyBorder="1" applyAlignment="1">
      <alignment horizontal="center" vertical="center" wrapText="1"/>
    </xf>
    <xf numFmtId="0" fontId="85" fillId="31" borderId="7" xfId="8" applyFont="1" applyFill="1" applyBorder="1" applyAlignment="1">
      <alignment horizontal="center" vertical="center" wrapText="1"/>
    </xf>
    <xf numFmtId="0" fontId="64" fillId="30" borderId="3" xfId="2" applyFont="1" applyFill="1" applyBorder="1" applyAlignment="1">
      <alignment vertical="center" wrapText="1"/>
    </xf>
    <xf numFmtId="0" fontId="42" fillId="0" borderId="96" xfId="0" applyFont="1" applyBorder="1" applyAlignment="1">
      <alignment horizontal="center" vertical="center"/>
    </xf>
    <xf numFmtId="0" fontId="48" fillId="0" borderId="24" xfId="4" applyBorder="1" applyAlignment="1" applyProtection="1">
      <alignment horizontal="center" vertical="center"/>
    </xf>
    <xf numFmtId="0" fontId="48" fillId="0" borderId="6" xfId="4" applyBorder="1" applyAlignment="1" applyProtection="1">
      <alignment horizontal="center" vertical="center"/>
    </xf>
    <xf numFmtId="0" fontId="48" fillId="0" borderId="7" xfId="4" applyBorder="1" applyAlignment="1" applyProtection="1">
      <alignment horizontal="center" vertical="center"/>
    </xf>
    <xf numFmtId="0" fontId="77" fillId="21" borderId="0" xfId="0" applyFont="1" applyFill="1" applyBorder="1" applyAlignment="1">
      <alignment horizontal="center" vertical="center" textRotation="90" wrapText="1"/>
    </xf>
    <xf numFmtId="0" fontId="125" fillId="0" borderId="0" xfId="0" applyFont="1" applyBorder="1" applyAlignment="1">
      <alignment horizontal="left" vertical="center" wrapText="1"/>
    </xf>
    <xf numFmtId="0" fontId="158" fillId="0" borderId="14" xfId="0" applyFont="1" applyBorder="1" applyAlignment="1">
      <alignment horizontal="left" vertical="center" wrapText="1"/>
    </xf>
    <xf numFmtId="0" fontId="77" fillId="12" borderId="17" xfId="19" applyFont="1" applyFill="1" applyBorder="1" applyAlignment="1">
      <alignment vertical="center" wrapText="1"/>
    </xf>
    <xf numFmtId="0" fontId="130" fillId="8" borderId="127" xfId="19" applyFont="1" applyFill="1" applyBorder="1" applyAlignment="1">
      <alignment horizontal="center" vertical="center"/>
    </xf>
    <xf numFmtId="0" fontId="130" fillId="8" borderId="128" xfId="19" applyFont="1" applyFill="1" applyBorder="1" applyAlignment="1">
      <alignment horizontal="center" vertical="center"/>
    </xf>
    <xf numFmtId="0" fontId="60" fillId="26" borderId="1" xfId="8" applyFont="1" applyFill="1" applyBorder="1" applyAlignment="1">
      <alignment horizontal="center" vertical="center" wrapText="1"/>
    </xf>
    <xf numFmtId="0" fontId="47" fillId="0" borderId="0" xfId="0" applyFont="1"/>
    <xf numFmtId="0" fontId="48" fillId="0" borderId="47" xfId="4" applyBorder="1" applyAlignment="1" applyProtection="1">
      <alignment horizontal="center" vertical="center"/>
    </xf>
    <xf numFmtId="0" fontId="70" fillId="0" borderId="140" xfId="0" applyFont="1" applyBorder="1" applyAlignment="1">
      <alignment horizontal="center" vertical="center" wrapText="1"/>
    </xf>
    <xf numFmtId="0" fontId="60" fillId="26" borderId="54" xfId="8" applyFont="1" applyFill="1" applyBorder="1" applyAlignment="1">
      <alignment horizontal="center" vertical="center" wrapText="1"/>
    </xf>
    <xf numFmtId="0" fontId="137" fillId="22" borderId="32" xfId="8" applyFont="1" applyFill="1" applyBorder="1" applyAlignment="1">
      <alignment horizontal="center" vertical="center" wrapText="1"/>
    </xf>
    <xf numFmtId="0" fontId="46" fillId="0" borderId="9" xfId="8" applyFont="1" applyFill="1" applyBorder="1" applyAlignment="1">
      <alignment vertical="top" wrapText="1"/>
    </xf>
    <xf numFmtId="0" fontId="146" fillId="22" borderId="0" xfId="0" applyFont="1" applyFill="1" applyBorder="1" applyAlignment="1">
      <alignment horizontal="center" vertical="center" wrapText="1"/>
    </xf>
    <xf numFmtId="0" fontId="47" fillId="0" borderId="0" xfId="0" applyFont="1" applyAlignment="1">
      <alignment wrapText="1"/>
    </xf>
    <xf numFmtId="0" fontId="60" fillId="34" borderId="2" xfId="8" applyFont="1" applyFill="1" applyBorder="1" applyAlignment="1">
      <alignment horizontal="center" vertical="center" wrapText="1"/>
    </xf>
    <xf numFmtId="0" fontId="60" fillId="34" borderId="54" xfId="8" applyFont="1" applyFill="1" applyBorder="1" applyAlignment="1">
      <alignment horizontal="center" vertical="center" wrapText="1"/>
    </xf>
    <xf numFmtId="0" fontId="60" fillId="34" borderId="1" xfId="8" applyFont="1" applyFill="1" applyBorder="1" applyAlignment="1">
      <alignment horizontal="center" vertical="center" wrapText="1"/>
    </xf>
    <xf numFmtId="0" fontId="159" fillId="0" borderId="0" xfId="0" applyFont="1" applyAlignment="1" applyProtection="1">
      <alignment horizontal="left"/>
      <protection locked="0"/>
    </xf>
    <xf numFmtId="0" fontId="58" fillId="2" borderId="122" xfId="8" applyFont="1" applyFill="1" applyBorder="1" applyAlignment="1">
      <alignment horizontal="center" vertical="center"/>
    </xf>
    <xf numFmtId="0" fontId="48" fillId="0" borderId="0" xfId="4" quotePrefix="1" applyAlignment="1" applyProtection="1"/>
    <xf numFmtId="0" fontId="39" fillId="0" borderId="0" xfId="8" applyFont="1" applyAlignment="1">
      <alignment horizontal="center" vertical="center" wrapText="1"/>
    </xf>
    <xf numFmtId="0" fontId="65" fillId="33" borderId="121" xfId="8" applyFont="1" applyFill="1" applyBorder="1" applyAlignment="1">
      <alignment horizontal="center" vertical="center" wrapText="1"/>
    </xf>
    <xf numFmtId="0" fontId="160" fillId="0" borderId="0" xfId="0" applyFont="1" applyAlignment="1" applyProtection="1">
      <alignment vertical="center" wrapText="1"/>
      <protection locked="0"/>
    </xf>
    <xf numFmtId="0" fontId="162" fillId="0" borderId="27" xfId="0" applyFont="1" applyFill="1" applyBorder="1" applyAlignment="1">
      <alignment horizontal="center" vertical="center" wrapText="1"/>
    </xf>
    <xf numFmtId="0" fontId="27" fillId="0" borderId="0" xfId="19" applyFont="1"/>
    <xf numFmtId="0" fontId="163" fillId="0" borderId="0" xfId="0" applyFont="1" applyAlignment="1">
      <alignment horizontal="left"/>
    </xf>
    <xf numFmtId="0" fontId="121" fillId="7" borderId="47" xfId="8" applyFont="1" applyFill="1" applyBorder="1" applyAlignment="1">
      <alignment horizontal="left" wrapText="1"/>
    </xf>
    <xf numFmtId="0" fontId="121" fillId="7" borderId="47" xfId="8" applyFont="1" applyFill="1" applyBorder="1" applyAlignment="1">
      <alignment vertical="center" wrapText="1"/>
    </xf>
    <xf numFmtId="0" fontId="121" fillId="7" borderId="47" xfId="8" applyFont="1" applyFill="1" applyBorder="1" applyAlignment="1">
      <alignment horizontal="left" vertical="center" wrapText="1"/>
    </xf>
    <xf numFmtId="0" fontId="121" fillId="35" borderId="47" xfId="8" applyFont="1" applyFill="1" applyBorder="1" applyAlignment="1">
      <alignment horizontal="left" vertical="center" wrapText="1"/>
    </xf>
    <xf numFmtId="0" fontId="121" fillId="5" borderId="47" xfId="8" applyFont="1" applyFill="1" applyBorder="1" applyAlignment="1">
      <alignment horizontal="left" vertical="center" wrapText="1"/>
    </xf>
    <xf numFmtId="0" fontId="48" fillId="0" borderId="0" xfId="4" applyAlignment="1" applyProtection="1">
      <alignment vertical="center"/>
    </xf>
    <xf numFmtId="0" fontId="25" fillId="0" borderId="0" xfId="19" applyFont="1"/>
    <xf numFmtId="0" fontId="121" fillId="0" borderId="47" xfId="8" applyFont="1" applyFill="1" applyBorder="1" applyAlignment="1">
      <alignment horizontal="left"/>
    </xf>
    <xf numFmtId="0" fontId="164" fillId="0" borderId="47" xfId="8" applyFont="1" applyFill="1" applyBorder="1" applyAlignment="1">
      <alignment horizontal="left"/>
    </xf>
    <xf numFmtId="0" fontId="121" fillId="0" borderId="47" xfId="8" applyFont="1" applyFill="1" applyBorder="1" applyAlignment="1"/>
    <xf numFmtId="0" fontId="121" fillId="0" borderId="47" xfId="8" applyFont="1" applyFill="1" applyBorder="1" applyAlignment="1">
      <alignment horizontal="left" vertical="center" wrapText="1"/>
    </xf>
    <xf numFmtId="0" fontId="165" fillId="0" borderId="0" xfId="0" applyFont="1"/>
    <xf numFmtId="0" fontId="48" fillId="0" borderId="47" xfId="4" applyFill="1" applyBorder="1" applyAlignment="1" applyProtection="1">
      <alignment horizontal="center" vertical="center"/>
    </xf>
    <xf numFmtId="0" fontId="70" fillId="0" borderId="0" xfId="0" applyFont="1" applyBorder="1" applyAlignment="1">
      <alignment horizontal="center" vertical="center" wrapText="1"/>
    </xf>
    <xf numFmtId="0" fontId="60" fillId="2" borderId="14" xfId="8" applyFont="1" applyFill="1" applyBorder="1" applyAlignment="1">
      <alignment horizontal="center" vertical="center"/>
    </xf>
    <xf numFmtId="0" fontId="133" fillId="36" borderId="34" xfId="8" applyFont="1" applyFill="1" applyBorder="1" applyAlignment="1">
      <alignment horizontal="center" vertical="center" wrapText="1"/>
    </xf>
    <xf numFmtId="0" fontId="133" fillId="36" borderId="29" xfId="8" applyFont="1" applyFill="1" applyBorder="1" applyAlignment="1">
      <alignment horizontal="center" vertical="center" wrapText="1"/>
    </xf>
    <xf numFmtId="0" fontId="133" fillId="36" borderId="25" xfId="8" applyFont="1" applyFill="1" applyBorder="1" applyAlignment="1">
      <alignment horizontal="center" vertical="center" wrapText="1"/>
    </xf>
    <xf numFmtId="0" fontId="145" fillId="0" borderId="0" xfId="0" applyFont="1" applyFill="1" applyBorder="1" applyAlignment="1">
      <alignment vertical="center" wrapText="1"/>
    </xf>
    <xf numFmtId="0" fontId="85" fillId="7" borderId="9" xfId="8" applyFont="1" applyFill="1" applyBorder="1" applyAlignment="1">
      <alignment horizontal="center" vertical="center" wrapText="1"/>
    </xf>
    <xf numFmtId="0" fontId="35" fillId="0" borderId="47" xfId="13" applyBorder="1" applyAlignment="1">
      <alignment horizontal="center" vertical="center"/>
    </xf>
    <xf numFmtId="43" fontId="35" fillId="0" borderId="0" xfId="20" applyFont="1"/>
    <xf numFmtId="44" fontId="35" fillId="0" borderId="0" xfId="13" applyNumberFormat="1"/>
    <xf numFmtId="43" fontId="35" fillId="0" borderId="0" xfId="13" applyNumberFormat="1"/>
    <xf numFmtId="0" fontId="35" fillId="0" borderId="0" xfId="13" applyAlignment="1">
      <alignment vertical="center"/>
    </xf>
    <xf numFmtId="0" fontId="24" fillId="0" borderId="9" xfId="13" applyFont="1" applyFill="1" applyBorder="1" applyAlignment="1">
      <alignment horizontal="center" vertical="center"/>
    </xf>
    <xf numFmtId="0" fontId="35" fillId="0" borderId="47" xfId="13" applyFill="1" applyBorder="1" applyAlignment="1">
      <alignment horizontal="center" vertical="center"/>
    </xf>
    <xf numFmtId="0" fontId="24" fillId="0" borderId="47" xfId="13" applyFont="1" applyFill="1" applyBorder="1" applyAlignment="1">
      <alignment horizontal="center" vertical="center"/>
    </xf>
    <xf numFmtId="0" fontId="24" fillId="0" borderId="47" xfId="13" applyFont="1" applyFill="1" applyBorder="1" applyAlignment="1">
      <alignment horizontal="justify" vertical="center" wrapText="1"/>
    </xf>
    <xf numFmtId="44" fontId="35" fillId="0" borderId="47" xfId="13" applyNumberFormat="1" applyFill="1" applyBorder="1" applyAlignment="1">
      <alignment horizontal="center" vertical="center"/>
    </xf>
    <xf numFmtId="43" fontId="35" fillId="0" borderId="47" xfId="13" applyNumberFormat="1" applyFill="1" applyBorder="1" applyAlignment="1">
      <alignment horizontal="center" vertical="center"/>
    </xf>
    <xf numFmtId="0" fontId="24" fillId="0" borderId="6" xfId="13" applyFont="1" applyFill="1" applyBorder="1" applyAlignment="1">
      <alignment horizontal="center" vertical="center" wrapText="1"/>
    </xf>
    <xf numFmtId="0" fontId="85" fillId="3" borderId="22" xfId="8" applyFont="1" applyFill="1" applyBorder="1" applyAlignment="1">
      <alignment horizontal="center" vertical="center" wrapText="1"/>
    </xf>
    <xf numFmtId="0" fontId="85" fillId="7" borderId="5" xfId="8" applyFont="1" applyFill="1" applyBorder="1" applyAlignment="1">
      <alignment horizontal="center" vertical="center" wrapText="1"/>
    </xf>
    <xf numFmtId="44" fontId="35" fillId="0" borderId="0" xfId="13" applyNumberFormat="1" applyAlignment="1">
      <alignment vertical="center"/>
    </xf>
    <xf numFmtId="43" fontId="85" fillId="7" borderId="6" xfId="8" applyNumberFormat="1" applyFont="1" applyFill="1" applyBorder="1" applyAlignment="1">
      <alignment vertical="center" wrapText="1"/>
    </xf>
    <xf numFmtId="43" fontId="85" fillId="7" borderId="6" xfId="20" applyFont="1" applyFill="1" applyBorder="1" applyAlignment="1">
      <alignment vertical="center" wrapText="1"/>
    </xf>
    <xf numFmtId="0" fontId="85" fillId="7" borderId="48" xfId="8" applyFont="1" applyFill="1" applyBorder="1" applyAlignment="1">
      <alignment horizontal="left" vertical="center" wrapText="1" indent="2"/>
    </xf>
    <xf numFmtId="0" fontId="88" fillId="13" borderId="10" xfId="8" applyFont="1" applyFill="1" applyBorder="1" applyAlignment="1">
      <alignment vertical="center" wrapText="1"/>
    </xf>
    <xf numFmtId="0" fontId="88" fillId="13" borderId="13" xfId="8" applyFont="1" applyFill="1" applyBorder="1" applyAlignment="1">
      <alignment horizontal="justify" vertical="center" wrapText="1"/>
    </xf>
    <xf numFmtId="164" fontId="88" fillId="13" borderId="11" xfId="8" applyNumberFormat="1" applyFont="1" applyFill="1" applyBorder="1" applyAlignment="1">
      <alignment vertical="center" wrapText="1"/>
    </xf>
    <xf numFmtId="164" fontId="88" fillId="13" borderId="6" xfId="8" applyNumberFormat="1" applyFont="1" applyFill="1" applyBorder="1" applyAlignment="1">
      <alignment vertical="center" wrapText="1"/>
    </xf>
    <xf numFmtId="164" fontId="88" fillId="13" borderId="24" xfId="8" applyNumberFormat="1" applyFont="1" applyFill="1" applyBorder="1" applyAlignment="1">
      <alignment vertical="center" wrapText="1"/>
    </xf>
    <xf numFmtId="0" fontId="88" fillId="13" borderId="59" xfId="8" applyFont="1" applyFill="1" applyBorder="1" applyAlignment="1">
      <alignment horizontal="center" vertical="center" wrapText="1"/>
    </xf>
    <xf numFmtId="0" fontId="85" fillId="7" borderId="39" xfId="8" applyFont="1" applyFill="1" applyBorder="1" applyAlignment="1">
      <alignment horizontal="center" vertical="center" wrapText="1"/>
    </xf>
    <xf numFmtId="0" fontId="88" fillId="13" borderId="39" xfId="8" applyFont="1" applyFill="1" applyBorder="1" applyAlignment="1">
      <alignment horizontal="center" vertical="center" wrapText="1"/>
    </xf>
    <xf numFmtId="0" fontId="38" fillId="7" borderId="39" xfId="8" applyFill="1" applyBorder="1" applyAlignment="1">
      <alignment horizontal="center" vertical="center" wrapText="1"/>
    </xf>
    <xf numFmtId="0" fontId="85" fillId="13" borderId="13" xfId="8" applyFont="1" applyFill="1" applyBorder="1" applyAlignment="1">
      <alignment horizontal="left" vertical="center" wrapText="1" indent="1"/>
    </xf>
    <xf numFmtId="0" fontId="35" fillId="0" borderId="47" xfId="13" applyFill="1" applyBorder="1"/>
    <xf numFmtId="0" fontId="35" fillId="0" borderId="18" xfId="13" applyFill="1" applyBorder="1" applyAlignment="1"/>
    <xf numFmtId="167" fontId="86" fillId="8" borderId="111" xfId="10" applyNumberFormat="1" applyFont="1" applyFill="1" applyBorder="1" applyAlignment="1">
      <alignment vertical="center" textRotation="90" wrapText="1"/>
    </xf>
    <xf numFmtId="168" fontId="86" fillId="8" borderId="111" xfId="10" applyNumberFormat="1" applyFont="1" applyFill="1" applyBorder="1" applyAlignment="1">
      <alignment vertical="center" textRotation="90" wrapText="1"/>
    </xf>
    <xf numFmtId="168" fontId="86" fillId="8" borderId="112" xfId="10" applyNumberFormat="1" applyFont="1" applyFill="1" applyBorder="1" applyAlignment="1">
      <alignment vertical="center" textRotation="90" wrapText="1"/>
    </xf>
    <xf numFmtId="0" fontId="22" fillId="0" borderId="28" xfId="13" applyFont="1" applyBorder="1" applyAlignment="1">
      <alignment vertical="center"/>
    </xf>
    <xf numFmtId="164" fontId="166" fillId="5" borderId="42" xfId="13" applyNumberFormat="1" applyFont="1" applyFill="1" applyBorder="1" applyAlignment="1">
      <alignment vertical="center"/>
    </xf>
    <xf numFmtId="164" fontId="167" fillId="5" borderId="42" xfId="13" applyNumberFormat="1" applyFont="1" applyFill="1" applyBorder="1" applyAlignment="1">
      <alignment vertical="center"/>
    </xf>
    <xf numFmtId="0" fontId="35" fillId="0" borderId="9" xfId="13" applyFill="1" applyBorder="1"/>
    <xf numFmtId="169" fontId="85" fillId="7" borderId="5" xfId="20" applyNumberFormat="1" applyFont="1" applyFill="1" applyBorder="1" applyAlignment="1">
      <alignment vertical="center" wrapText="1"/>
    </xf>
    <xf numFmtId="169" fontId="85" fillId="7" borderId="5" xfId="20" applyNumberFormat="1" applyFont="1" applyFill="1" applyBorder="1" applyAlignment="1">
      <alignment horizontal="center" vertical="center" wrapText="1"/>
    </xf>
    <xf numFmtId="169" fontId="85" fillId="7" borderId="9" xfId="20" applyNumberFormat="1" applyFont="1" applyFill="1" applyBorder="1" applyAlignment="1">
      <alignment vertical="center" wrapText="1"/>
    </xf>
    <xf numFmtId="169" fontId="85" fillId="13" borderId="5" xfId="8" applyNumberFormat="1" applyFont="1" applyFill="1" applyBorder="1" applyAlignment="1">
      <alignment vertical="center" wrapText="1"/>
    </xf>
    <xf numFmtId="169" fontId="88" fillId="13" borderId="5" xfId="8" applyNumberFormat="1" applyFont="1" applyFill="1" applyBorder="1" applyAlignment="1">
      <alignment vertical="center" wrapText="1"/>
    </xf>
    <xf numFmtId="169" fontId="88" fillId="13" borderId="9" xfId="8" applyNumberFormat="1" applyFont="1" applyFill="1" applyBorder="1" applyAlignment="1">
      <alignment vertical="center" wrapText="1"/>
    </xf>
    <xf numFmtId="0" fontId="88" fillId="13" borderId="12" xfId="8" applyFont="1" applyFill="1" applyBorder="1" applyAlignment="1">
      <alignment horizontal="center" vertical="center" wrapText="1"/>
    </xf>
    <xf numFmtId="0" fontId="88" fillId="13" borderId="3" xfId="8" applyFont="1" applyFill="1" applyBorder="1" applyAlignment="1">
      <alignment horizontal="center" vertical="center" wrapText="1"/>
    </xf>
    <xf numFmtId="0" fontId="88" fillId="13" borderId="55" xfId="8" applyFont="1" applyFill="1" applyBorder="1" applyAlignment="1">
      <alignment horizontal="center" vertical="center" wrapText="1"/>
    </xf>
    <xf numFmtId="3" fontId="88" fillId="13" borderId="55" xfId="8" applyNumberFormat="1" applyFont="1" applyFill="1" applyBorder="1" applyAlignment="1">
      <alignment horizontal="center" vertical="center" wrapText="1"/>
    </xf>
    <xf numFmtId="3" fontId="85" fillId="7" borderId="9" xfId="8" applyNumberFormat="1" applyFont="1" applyFill="1" applyBorder="1" applyAlignment="1">
      <alignment horizontal="center" vertical="center" wrapText="1"/>
    </xf>
    <xf numFmtId="3" fontId="88" fillId="13" borderId="9" xfId="8" applyNumberFormat="1" applyFont="1" applyFill="1" applyBorder="1" applyAlignment="1">
      <alignment horizontal="center" vertical="center" wrapText="1"/>
    </xf>
    <xf numFmtId="3" fontId="88" fillId="13" borderId="3" xfId="20" applyNumberFormat="1" applyFont="1" applyFill="1" applyBorder="1" applyAlignment="1">
      <alignment horizontal="center" vertical="center" wrapText="1"/>
    </xf>
    <xf numFmtId="3" fontId="85" fillId="7" borderId="5" xfId="20" applyNumberFormat="1" applyFont="1" applyFill="1" applyBorder="1" applyAlignment="1">
      <alignment horizontal="center" vertical="center" wrapText="1"/>
    </xf>
    <xf numFmtId="3" fontId="88" fillId="13" borderId="5" xfId="20" applyNumberFormat="1" applyFont="1" applyFill="1" applyBorder="1" applyAlignment="1">
      <alignment horizontal="center" vertical="center" wrapText="1"/>
    </xf>
    <xf numFmtId="3" fontId="88" fillId="13" borderId="5" xfId="8" applyNumberFormat="1" applyFont="1" applyFill="1" applyBorder="1" applyAlignment="1">
      <alignment horizontal="center" vertical="center" wrapText="1"/>
    </xf>
    <xf numFmtId="3" fontId="85" fillId="7" borderId="5" xfId="8" applyNumberFormat="1" applyFont="1" applyFill="1" applyBorder="1" applyAlignment="1">
      <alignment horizontal="center" vertical="center" wrapText="1"/>
    </xf>
    <xf numFmtId="3" fontId="88" fillId="13" borderId="9" xfId="20" applyNumberFormat="1" applyFont="1" applyFill="1" applyBorder="1" applyAlignment="1">
      <alignment horizontal="center" vertical="center" wrapText="1"/>
    </xf>
    <xf numFmtId="0" fontId="86" fillId="3" borderId="20" xfId="10" applyFont="1" applyFill="1" applyBorder="1" applyAlignment="1">
      <alignment vertical="center" textRotation="90" wrapText="1"/>
    </xf>
    <xf numFmtId="0" fontId="86" fillId="3" borderId="35" xfId="10" applyFont="1" applyFill="1" applyBorder="1" applyAlignment="1">
      <alignment vertical="center" textRotation="90" wrapText="1"/>
    </xf>
    <xf numFmtId="0" fontId="85" fillId="0" borderId="29" xfId="8" applyFont="1" applyFill="1" applyBorder="1" applyAlignment="1">
      <alignment vertical="center" wrapText="1"/>
    </xf>
    <xf numFmtId="0" fontId="85" fillId="3" borderId="25" xfId="8" applyFont="1" applyFill="1" applyBorder="1" applyAlignment="1">
      <alignment vertical="center" wrapText="1"/>
    </xf>
    <xf numFmtId="0" fontId="85" fillId="0" borderId="25" xfId="8" applyFont="1" applyFill="1" applyBorder="1" applyAlignment="1">
      <alignment vertical="center" wrapText="1"/>
    </xf>
    <xf numFmtId="0" fontId="54" fillId="2" borderId="115" xfId="8" applyFont="1" applyFill="1" applyBorder="1" applyAlignment="1">
      <alignment horizontal="center" vertical="center" wrapText="1"/>
    </xf>
    <xf numFmtId="44" fontId="38" fillId="0" borderId="0" xfId="8" applyNumberFormat="1"/>
    <xf numFmtId="0" fontId="42" fillId="2" borderId="15" xfId="8" applyFont="1" applyFill="1" applyBorder="1" applyAlignment="1">
      <alignment horizontal="center" vertical="center" wrapText="1"/>
    </xf>
    <xf numFmtId="9" fontId="42" fillId="2" borderId="31" xfId="25" applyFont="1" applyFill="1" applyBorder="1" applyAlignment="1">
      <alignment horizontal="center" vertical="center" wrapText="1"/>
    </xf>
    <xf numFmtId="3" fontId="42" fillId="2" borderId="114" xfId="8" applyNumberFormat="1" applyFont="1" applyFill="1" applyBorder="1" applyAlignment="1">
      <alignment vertical="center" wrapText="1"/>
    </xf>
    <xf numFmtId="9" fontId="42" fillId="2" borderId="15" xfId="25" applyFont="1" applyFill="1" applyBorder="1" applyAlignment="1">
      <alignment vertical="center" wrapText="1"/>
    </xf>
    <xf numFmtId="9" fontId="42" fillId="2" borderId="15" xfId="25" applyFont="1" applyFill="1" applyBorder="1" applyAlignment="1">
      <alignment horizontal="center" vertical="center" wrapText="1"/>
    </xf>
    <xf numFmtId="0" fontId="42" fillId="2" borderId="32" xfId="8" applyFont="1" applyFill="1" applyBorder="1" applyAlignment="1">
      <alignment horizontal="justify" vertical="center" wrapText="1"/>
    </xf>
    <xf numFmtId="0" fontId="54" fillId="2" borderId="14" xfId="8" applyFont="1" applyFill="1" applyBorder="1" applyAlignment="1">
      <alignment horizontal="justify" vertical="center" wrapText="1"/>
    </xf>
    <xf numFmtId="0" fontId="42" fillId="2" borderId="33" xfId="8" applyFont="1" applyFill="1" applyBorder="1" applyAlignment="1">
      <alignment vertical="center" wrapText="1"/>
    </xf>
    <xf numFmtId="0" fontId="42" fillId="2" borderId="111" xfId="8" applyFont="1" applyFill="1" applyBorder="1" applyAlignment="1">
      <alignment horizontal="center" vertical="center" wrapText="1"/>
    </xf>
    <xf numFmtId="9" fontId="42" fillId="2" borderId="112" xfId="25" applyFont="1" applyFill="1" applyBorder="1" applyAlignment="1">
      <alignment horizontal="center" vertical="center" wrapText="1"/>
    </xf>
    <xf numFmtId="43" fontId="42" fillId="2" borderId="113" xfId="20" applyFont="1" applyFill="1" applyBorder="1" applyAlignment="1">
      <alignment vertical="center" wrapText="1"/>
    </xf>
    <xf numFmtId="9" fontId="42" fillId="2" borderId="111" xfId="25" applyFont="1" applyFill="1" applyBorder="1" applyAlignment="1">
      <alignment horizontal="center" vertical="center" wrapText="1"/>
    </xf>
    <xf numFmtId="0" fontId="42" fillId="4" borderId="144" xfId="8" applyFont="1" applyFill="1" applyBorder="1" applyAlignment="1">
      <alignment vertical="center" wrapText="1"/>
    </xf>
    <xf numFmtId="3" fontId="42" fillId="2" borderId="33" xfId="8" applyNumberFormat="1" applyFont="1" applyFill="1" applyBorder="1" applyAlignment="1">
      <alignment horizontal="center" vertical="center" wrapText="1"/>
    </xf>
    <xf numFmtId="0" fontId="42" fillId="4" borderId="112" xfId="8" applyFont="1" applyFill="1" applyBorder="1" applyAlignment="1">
      <alignment vertical="center" wrapText="1"/>
    </xf>
    <xf numFmtId="0" fontId="54" fillId="2" borderId="0" xfId="8" applyFont="1" applyFill="1" applyAlignment="1">
      <alignment vertical="center"/>
    </xf>
    <xf numFmtId="0" fontId="40" fillId="0" borderId="0" xfId="8" applyFont="1" applyFill="1" applyBorder="1" applyAlignment="1">
      <alignment horizontal="center" vertical="center" wrapText="1"/>
    </xf>
    <xf numFmtId="0" fontId="54" fillId="0" borderId="0" xfId="8" applyFont="1" applyFill="1" applyAlignment="1">
      <alignment vertical="center"/>
    </xf>
    <xf numFmtId="0" fontId="38" fillId="2" borderId="0" xfId="8" applyFont="1" applyFill="1" applyAlignment="1">
      <alignment vertical="center"/>
    </xf>
    <xf numFmtId="0" fontId="38" fillId="3" borderId="0" xfId="8" applyFont="1" applyFill="1" applyAlignment="1">
      <alignment vertical="center"/>
    </xf>
    <xf numFmtId="0" fontId="38" fillId="0" borderId="0" xfId="8" applyFont="1" applyAlignment="1">
      <alignment vertical="center"/>
    </xf>
    <xf numFmtId="43" fontId="38" fillId="0" borderId="0" xfId="20" applyFont="1" applyAlignment="1">
      <alignment vertical="center"/>
    </xf>
    <xf numFmtId="43" fontId="38" fillId="0" borderId="0" xfId="8" applyNumberFormat="1" applyFont="1" applyAlignment="1">
      <alignment vertical="center"/>
    </xf>
    <xf numFmtId="171" fontId="38" fillId="0" borderId="0" xfId="25" applyNumberFormat="1" applyFont="1" applyAlignment="1">
      <alignment vertical="center"/>
    </xf>
    <xf numFmtId="43" fontId="38" fillId="0" borderId="0" xfId="8" applyNumberFormat="1" applyFont="1"/>
    <xf numFmtId="170" fontId="38" fillId="0" borderId="0" xfId="25" applyNumberFormat="1" applyFont="1"/>
    <xf numFmtId="10" fontId="38" fillId="0" borderId="0" xfId="25" applyNumberFormat="1" applyFont="1"/>
    <xf numFmtId="0" fontId="42" fillId="2" borderId="115" xfId="8" applyFont="1" applyFill="1" applyBorder="1" applyAlignment="1">
      <alignment horizontal="center" vertical="center" wrapText="1"/>
    </xf>
    <xf numFmtId="0" fontId="42" fillId="2" borderId="68" xfId="8" applyFont="1" applyFill="1" applyBorder="1" applyAlignment="1">
      <alignment horizontal="center" vertical="center" wrapText="1"/>
    </xf>
    <xf numFmtId="0" fontId="38" fillId="2" borderId="104" xfId="8" applyFont="1" applyFill="1" applyBorder="1" applyAlignment="1">
      <alignment horizontal="justify" vertical="center" wrapText="1"/>
    </xf>
    <xf numFmtId="0" fontId="42" fillId="2" borderId="34" xfId="8" applyFont="1" applyFill="1" applyBorder="1" applyAlignment="1">
      <alignment horizontal="justify" vertical="center" wrapText="1"/>
    </xf>
    <xf numFmtId="0" fontId="42" fillId="2" borderId="44" xfId="8" applyFont="1" applyFill="1" applyBorder="1" applyAlignment="1">
      <alignment horizontal="center" vertical="center" wrapText="1"/>
    </xf>
    <xf numFmtId="0" fontId="42" fillId="4" borderId="119" xfId="8" applyFont="1" applyFill="1" applyBorder="1" applyAlignment="1">
      <alignment vertical="center" wrapText="1"/>
    </xf>
    <xf numFmtId="0" fontId="38" fillId="0" borderId="42" xfId="8" applyFont="1" applyBorder="1"/>
    <xf numFmtId="0" fontId="38" fillId="0" borderId="17" xfId="8" applyFont="1" applyBorder="1"/>
    <xf numFmtId="0" fontId="38" fillId="0" borderId="28" xfId="8" applyFont="1" applyBorder="1"/>
    <xf numFmtId="0" fontId="38" fillId="2" borderId="115" xfId="8" applyFont="1" applyFill="1" applyBorder="1" applyAlignment="1">
      <alignment horizontal="justify" vertical="center" wrapText="1"/>
    </xf>
    <xf numFmtId="0" fontId="42" fillId="2" borderId="39" xfId="8" applyFont="1" applyFill="1" applyBorder="1" applyAlignment="1">
      <alignment horizontal="justify" vertical="center" wrapText="1"/>
    </xf>
    <xf numFmtId="9" fontId="42" fillId="2" borderId="6" xfId="8" applyNumberFormat="1" applyFont="1" applyFill="1" applyBorder="1" applyAlignment="1">
      <alignment horizontal="center" vertical="center" wrapText="1"/>
    </xf>
    <xf numFmtId="43" fontId="42" fillId="2" borderId="9" xfId="8" applyNumberFormat="1" applyFont="1" applyFill="1" applyBorder="1" applyAlignment="1">
      <alignment vertical="center" wrapText="1"/>
    </xf>
    <xf numFmtId="9" fontId="42" fillId="2" borderId="47" xfId="25" applyFont="1" applyFill="1" applyBorder="1" applyAlignment="1">
      <alignment horizontal="center" vertical="center" wrapText="1"/>
    </xf>
    <xf numFmtId="0" fontId="42" fillId="4" borderId="48" xfId="8" applyFont="1" applyFill="1" applyBorder="1" applyAlignment="1">
      <alignment vertical="center" wrapText="1"/>
    </xf>
    <xf numFmtId="3" fontId="42" fillId="2" borderId="5" xfId="8" applyNumberFormat="1" applyFont="1" applyFill="1" applyBorder="1" applyAlignment="1">
      <alignment vertical="center" wrapText="1"/>
    </xf>
    <xf numFmtId="0" fontId="42" fillId="4" borderId="6" xfId="8" applyFont="1" applyFill="1" applyBorder="1" applyAlignment="1">
      <alignment vertical="center" wrapText="1"/>
    </xf>
    <xf numFmtId="0" fontId="38" fillId="2" borderId="29" xfId="8" applyFont="1" applyFill="1" applyBorder="1" applyAlignment="1">
      <alignment horizontal="justify" vertical="center" wrapText="1"/>
    </xf>
    <xf numFmtId="0" fontId="42" fillId="2" borderId="114" xfId="8" applyFont="1" applyFill="1" applyBorder="1" applyAlignment="1">
      <alignment horizontal="center" vertical="center" wrapText="1"/>
    </xf>
    <xf numFmtId="9" fontId="42" fillId="2" borderId="15" xfId="20" applyNumberFormat="1" applyFont="1" applyFill="1" applyBorder="1" applyAlignment="1">
      <alignment horizontal="center" vertical="center" wrapText="1"/>
    </xf>
    <xf numFmtId="0" fontId="42" fillId="2" borderId="34" xfId="8" applyFont="1" applyFill="1" applyBorder="1" applyAlignment="1">
      <alignment vertical="center" wrapText="1"/>
    </xf>
    <xf numFmtId="0" fontId="42" fillId="2" borderId="43" xfId="8" applyFont="1" applyFill="1" applyBorder="1" applyAlignment="1">
      <alignment vertical="center" wrapText="1"/>
    </xf>
    <xf numFmtId="0" fontId="38" fillId="2" borderId="26" xfId="8" applyFont="1" applyFill="1" applyBorder="1" applyAlignment="1">
      <alignment horizontal="justify" vertical="center" wrapText="1"/>
    </xf>
    <xf numFmtId="0" fontId="42" fillId="2" borderId="1" xfId="8" applyFont="1" applyFill="1" applyBorder="1" applyAlignment="1">
      <alignment horizontal="center" vertical="center" wrapText="1"/>
    </xf>
    <xf numFmtId="9" fontId="42" fillId="2" borderId="7" xfId="25" applyFont="1" applyFill="1" applyBorder="1" applyAlignment="1">
      <alignment horizontal="center" vertical="center" wrapText="1"/>
    </xf>
    <xf numFmtId="0" fontId="42" fillId="2" borderId="54" xfId="8" applyFont="1" applyFill="1" applyBorder="1" applyAlignment="1">
      <alignment horizontal="center" vertical="center" wrapText="1"/>
    </xf>
    <xf numFmtId="9" fontId="42" fillId="2" borderId="1" xfId="25" applyFont="1" applyFill="1" applyBorder="1" applyAlignment="1">
      <alignment horizontal="center" vertical="center" wrapText="1"/>
    </xf>
    <xf numFmtId="0" fontId="42" fillId="4" borderId="23" xfId="8" applyFont="1" applyFill="1" applyBorder="1" applyAlignment="1">
      <alignment vertical="center" wrapText="1"/>
    </xf>
    <xf numFmtId="0" fontId="42" fillId="2" borderId="2" xfId="8" applyFont="1" applyFill="1" applyBorder="1" applyAlignment="1">
      <alignment horizontal="center" vertical="center" wrapText="1"/>
    </xf>
    <xf numFmtId="0" fontId="42" fillId="4" borderId="7" xfId="8" applyFont="1" applyFill="1" applyBorder="1" applyAlignment="1">
      <alignment vertical="center" wrapText="1"/>
    </xf>
    <xf numFmtId="9" fontId="42" fillId="2" borderId="1" xfId="25" applyFont="1" applyFill="1" applyBorder="1" applyAlignment="1">
      <alignment vertical="center" wrapText="1"/>
    </xf>
    <xf numFmtId="9" fontId="42" fillId="2" borderId="1" xfId="20" applyNumberFormat="1" applyFont="1" applyFill="1" applyBorder="1" applyAlignment="1">
      <alignment horizontal="center" vertical="center" wrapText="1"/>
    </xf>
    <xf numFmtId="0" fontId="54" fillId="2" borderId="117" xfId="8" applyFont="1" applyFill="1" applyBorder="1" applyAlignment="1">
      <alignment horizontal="justify" vertical="center" wrapText="1"/>
    </xf>
    <xf numFmtId="0" fontId="54" fillId="2" borderId="68" xfId="8" applyFont="1" applyFill="1" applyBorder="1" applyAlignment="1">
      <alignment horizontal="center" vertical="center" wrapText="1"/>
    </xf>
    <xf numFmtId="0" fontId="54" fillId="2" borderId="36" xfId="8" applyFont="1" applyFill="1" applyBorder="1" applyAlignment="1">
      <alignment horizontal="left" vertical="center" wrapText="1"/>
    </xf>
    <xf numFmtId="0" fontId="54" fillId="2" borderId="46" xfId="8" applyFont="1" applyFill="1" applyBorder="1" applyAlignment="1">
      <alignment horizontal="center" vertical="center" wrapText="1"/>
    </xf>
    <xf numFmtId="0" fontId="54" fillId="2" borderId="22" xfId="8" applyFont="1" applyFill="1" applyBorder="1" applyAlignment="1">
      <alignment horizontal="center" vertical="center" wrapText="1"/>
    </xf>
    <xf numFmtId="0" fontId="54" fillId="2" borderId="114" xfId="8" applyFont="1" applyFill="1" applyBorder="1" applyAlignment="1">
      <alignment vertical="center" wrapText="1"/>
    </xf>
    <xf numFmtId="0" fontId="54" fillId="2" borderId="58" xfId="8" applyFont="1" applyFill="1" applyBorder="1" applyAlignment="1">
      <alignment vertical="center" wrapText="1"/>
    </xf>
    <xf numFmtId="0" fontId="54" fillId="2" borderId="114" xfId="8" applyFont="1" applyFill="1" applyBorder="1" applyAlignment="1">
      <alignment horizontal="center" vertical="center" wrapText="1"/>
    </xf>
    <xf numFmtId="0" fontId="54" fillId="2" borderId="58" xfId="8" applyFont="1" applyFill="1" applyBorder="1" applyAlignment="1">
      <alignment horizontal="center" vertical="center" wrapText="1"/>
    </xf>
    <xf numFmtId="0" fontId="42" fillId="2" borderId="47" xfId="8" applyFont="1" applyFill="1" applyBorder="1" applyAlignment="1">
      <alignment horizontal="center" vertical="center" wrapText="1"/>
    </xf>
    <xf numFmtId="9" fontId="38" fillId="0" borderId="0" xfId="25" applyFont="1" applyAlignment="1">
      <alignment horizontal="center" vertical="center"/>
    </xf>
    <xf numFmtId="0" fontId="54" fillId="2" borderId="49" xfId="8" applyFont="1" applyFill="1" applyBorder="1" applyAlignment="1">
      <alignment horizontal="center" vertical="center" wrapText="1"/>
    </xf>
    <xf numFmtId="0" fontId="54" fillId="2" borderId="50" xfId="8" applyFont="1" applyFill="1" applyBorder="1" applyAlignment="1">
      <alignment horizontal="center" vertical="center" wrapText="1"/>
    </xf>
    <xf numFmtId="9" fontId="54" fillId="2" borderId="49" xfId="25" applyFont="1" applyFill="1" applyBorder="1" applyAlignment="1">
      <alignment horizontal="center" vertical="center" wrapText="1"/>
    </xf>
    <xf numFmtId="0" fontId="54" fillId="2" borderId="15" xfId="8" applyFont="1" applyFill="1" applyBorder="1" applyAlignment="1">
      <alignment horizontal="center" vertical="center" wrapText="1"/>
    </xf>
    <xf numFmtId="0" fontId="54" fillId="2" borderId="31" xfId="8" applyFont="1" applyFill="1" applyBorder="1" applyAlignment="1">
      <alignment horizontal="center" vertical="center" wrapText="1"/>
    </xf>
    <xf numFmtId="9" fontId="54" fillId="2" borderId="30" xfId="25" applyFont="1" applyFill="1" applyBorder="1" applyAlignment="1">
      <alignment horizontal="center" vertical="center" wrapText="1"/>
    </xf>
    <xf numFmtId="9" fontId="54" fillId="2" borderId="15" xfId="25" applyFont="1" applyFill="1" applyBorder="1" applyAlignment="1">
      <alignment horizontal="center" vertical="center" wrapText="1"/>
    </xf>
    <xf numFmtId="43" fontId="30" fillId="0" borderId="0" xfId="20" applyFont="1" applyAlignment="1">
      <alignment vertical="center"/>
    </xf>
    <xf numFmtId="0" fontId="131" fillId="20" borderId="34" xfId="8" applyFont="1" applyFill="1" applyBorder="1" applyAlignment="1">
      <alignment horizontal="center" vertical="center" wrapText="1"/>
    </xf>
    <xf numFmtId="0" fontId="131" fillId="26" borderId="111" xfId="8" applyFont="1" applyFill="1" applyBorder="1" applyAlignment="1">
      <alignment horizontal="center" vertical="center" wrapText="1"/>
    </xf>
    <xf numFmtId="0" fontId="59" fillId="3" borderId="0" xfId="0" applyFont="1" applyFill="1" applyBorder="1" applyAlignment="1">
      <alignment horizontal="center" vertical="center" wrapText="1"/>
    </xf>
    <xf numFmtId="0" fontId="177" fillId="3" borderId="47" xfId="0" applyFont="1" applyFill="1" applyBorder="1" applyAlignment="1">
      <alignment horizontal="center" vertical="top" wrapText="1"/>
    </xf>
    <xf numFmtId="0" fontId="175" fillId="3" borderId="47" xfId="0" applyFont="1" applyFill="1" applyBorder="1" applyAlignment="1">
      <alignment vertical="top" wrapText="1"/>
    </xf>
    <xf numFmtId="0" fontId="175" fillId="3" borderId="47" xfId="8" applyFont="1" applyFill="1" applyBorder="1" applyAlignment="1">
      <alignment horizontal="center" vertical="top" wrapText="1"/>
    </xf>
    <xf numFmtId="17" fontId="175" fillId="3" borderId="47" xfId="4" applyNumberFormat="1" applyFont="1" applyFill="1" applyBorder="1" applyAlignment="1" applyProtection="1">
      <alignment vertical="top" wrapText="1"/>
    </xf>
    <xf numFmtId="0" fontId="175" fillId="3" borderId="47" xfId="0" applyFont="1" applyFill="1" applyBorder="1" applyAlignment="1">
      <alignment horizontal="justify" vertical="top" wrapText="1"/>
    </xf>
    <xf numFmtId="17" fontId="175" fillId="3" borderId="0" xfId="4" applyNumberFormat="1" applyFont="1" applyFill="1" applyBorder="1" applyAlignment="1" applyProtection="1">
      <alignment vertical="top" wrapText="1"/>
    </xf>
    <xf numFmtId="0" fontId="177" fillId="3" borderId="30" xfId="0" applyFont="1" applyFill="1" applyBorder="1" applyAlignment="1">
      <alignment horizontal="center" vertical="top" wrapText="1"/>
    </xf>
    <xf numFmtId="0" fontId="175" fillId="3" borderId="0" xfId="0" applyFont="1" applyFill="1" applyAlignment="1">
      <alignment vertical="top" wrapText="1"/>
    </xf>
    <xf numFmtId="0" fontId="177" fillId="3" borderId="8" xfId="0" applyFont="1" applyFill="1" applyBorder="1" applyAlignment="1">
      <alignment horizontal="center" vertical="top" wrapText="1"/>
    </xf>
    <xf numFmtId="0" fontId="175" fillId="3" borderId="8" xfId="8" applyFont="1" applyFill="1" applyBorder="1" applyAlignment="1">
      <alignment horizontal="center" vertical="top" wrapText="1"/>
    </xf>
    <xf numFmtId="0" fontId="175" fillId="3" borderId="47" xfId="8" applyFont="1" applyFill="1" applyBorder="1" applyAlignment="1">
      <alignment horizontal="justify" vertical="top" wrapText="1"/>
    </xf>
    <xf numFmtId="0" fontId="175" fillId="3" borderId="47" xfId="8" applyFont="1" applyFill="1" applyBorder="1" applyAlignment="1">
      <alignment horizontal="justify" vertical="top"/>
    </xf>
    <xf numFmtId="0" fontId="175" fillId="3" borderId="47" xfId="0" applyFont="1" applyFill="1" applyBorder="1" applyAlignment="1">
      <alignment horizontal="justify" vertical="top"/>
    </xf>
    <xf numFmtId="0" fontId="178" fillId="3" borderId="47" xfId="0" applyFont="1" applyFill="1" applyBorder="1" applyAlignment="1">
      <alignment horizontal="left" vertical="top" wrapText="1"/>
    </xf>
    <xf numFmtId="0" fontId="177" fillId="3" borderId="47" xfId="0" applyFont="1" applyFill="1" applyBorder="1" applyAlignment="1">
      <alignment horizontal="justify" vertical="top" wrapText="1"/>
    </xf>
    <xf numFmtId="0" fontId="177" fillId="3" borderId="138" xfId="0" applyFont="1" applyFill="1" applyBorder="1" applyAlignment="1">
      <alignment horizontal="justify" vertical="top" wrapText="1"/>
    </xf>
    <xf numFmtId="0" fontId="175" fillId="3" borderId="47" xfId="0" applyFont="1" applyFill="1" applyBorder="1" applyAlignment="1">
      <alignment horizontal="left" vertical="top" wrapText="1"/>
    </xf>
    <xf numFmtId="0" fontId="175" fillId="3" borderId="47" xfId="8" applyFont="1" applyFill="1" applyBorder="1" applyAlignment="1">
      <alignment vertical="top" wrapText="1"/>
    </xf>
    <xf numFmtId="0" fontId="175" fillId="3" borderId="47" xfId="8" applyFont="1" applyFill="1" applyBorder="1" applyAlignment="1">
      <alignment vertical="top"/>
    </xf>
    <xf numFmtId="0" fontId="172" fillId="3" borderId="15" xfId="19" applyFont="1" applyFill="1" applyBorder="1" applyAlignment="1">
      <alignment vertical="top" wrapText="1"/>
    </xf>
    <xf numFmtId="0" fontId="172" fillId="3" borderId="15" xfId="19" applyFont="1" applyFill="1" applyBorder="1" applyAlignment="1"/>
    <xf numFmtId="0" fontId="172" fillId="3" borderId="30" xfId="19" applyFont="1" applyFill="1" applyBorder="1" applyAlignment="1"/>
    <xf numFmtId="0" fontId="172" fillId="3" borderId="8" xfId="19" applyFont="1" applyFill="1" applyBorder="1" applyAlignment="1">
      <alignment vertical="top" wrapText="1"/>
    </xf>
    <xf numFmtId="0" fontId="172" fillId="3" borderId="8" xfId="19" applyFont="1" applyFill="1" applyBorder="1" applyAlignment="1"/>
    <xf numFmtId="0" fontId="171" fillId="0" borderId="47" xfId="0" applyFont="1" applyBorder="1" applyAlignment="1">
      <alignment vertical="top" wrapText="1"/>
    </xf>
    <xf numFmtId="0" fontId="171" fillId="0" borderId="47" xfId="0" applyFont="1" applyBorder="1" applyAlignment="1">
      <alignment vertical="center" wrapText="1"/>
    </xf>
    <xf numFmtId="0" fontId="46" fillId="0" borderId="0" xfId="0" applyFont="1"/>
    <xf numFmtId="0" fontId="171" fillId="0" borderId="47" xfId="0" applyFont="1" applyBorder="1" applyAlignment="1">
      <alignment vertical="top"/>
    </xf>
    <xf numFmtId="0" fontId="171" fillId="0" borderId="47" xfId="0" applyFont="1" applyBorder="1" applyAlignment="1">
      <alignment horizontal="justify" vertical="top" wrapText="1"/>
    </xf>
    <xf numFmtId="0" fontId="171" fillId="3" borderId="47" xfId="0" applyFont="1" applyFill="1" applyBorder="1" applyAlignment="1">
      <alignment vertical="top" wrapText="1"/>
    </xf>
    <xf numFmtId="0" fontId="171" fillId="3" borderId="47" xfId="0" applyFont="1" applyFill="1" applyBorder="1" applyAlignment="1">
      <alignment vertical="top"/>
    </xf>
    <xf numFmtId="0" fontId="171" fillId="3" borderId="47" xfId="0" applyFont="1" applyFill="1" applyBorder="1" applyAlignment="1">
      <alignment horizontal="justify" vertical="top"/>
    </xf>
    <xf numFmtId="0" fontId="171" fillId="3" borderId="47" xfId="0" applyFont="1" applyFill="1" applyBorder="1" applyAlignment="1">
      <alignment horizontal="justify" vertical="top" wrapText="1"/>
    </xf>
    <xf numFmtId="0" fontId="186" fillId="3" borderId="0" xfId="8" applyFont="1" applyFill="1" applyBorder="1" applyAlignment="1">
      <alignment horizontal="center"/>
    </xf>
    <xf numFmtId="0" fontId="184" fillId="3" borderId="3" xfId="8" applyFont="1" applyFill="1" applyBorder="1" applyAlignment="1">
      <alignment vertical="center" wrapText="1"/>
    </xf>
    <xf numFmtId="0" fontId="171" fillId="2" borderId="0" xfId="8" applyFont="1" applyFill="1"/>
    <xf numFmtId="0" fontId="171" fillId="3" borderId="2" xfId="8" applyFont="1" applyFill="1" applyBorder="1" applyAlignment="1">
      <alignment vertical="center" wrapText="1"/>
    </xf>
    <xf numFmtId="0" fontId="171" fillId="0" borderId="0" xfId="8" applyFont="1" applyFill="1" applyBorder="1" applyAlignment="1">
      <alignment vertical="center" wrapText="1"/>
    </xf>
    <xf numFmtId="0" fontId="171" fillId="2" borderId="0" xfId="8" applyFont="1" applyFill="1" applyBorder="1" applyAlignment="1">
      <alignment horizontal="center"/>
    </xf>
    <xf numFmtId="0" fontId="184" fillId="31" borderId="3" xfId="8" applyFont="1" applyFill="1" applyBorder="1" applyAlignment="1">
      <alignment vertical="center" wrapText="1"/>
    </xf>
    <xf numFmtId="0" fontId="171" fillId="31" borderId="4" xfId="8" applyFont="1" applyFill="1" applyBorder="1" applyAlignment="1">
      <alignment horizontal="center" vertical="center"/>
    </xf>
    <xf numFmtId="0" fontId="171" fillId="31" borderId="24" xfId="8" applyFont="1" applyFill="1" applyBorder="1" applyAlignment="1">
      <alignment horizontal="center" vertical="center"/>
    </xf>
    <xf numFmtId="0" fontId="184" fillId="3" borderId="5" xfId="8" applyFont="1" applyFill="1" applyBorder="1" applyAlignment="1">
      <alignment vertical="center" wrapText="1"/>
    </xf>
    <xf numFmtId="0" fontId="171" fillId="3" borderId="47" xfId="8" applyFont="1" applyFill="1" applyBorder="1" applyAlignment="1">
      <alignment horizontal="center" vertical="center"/>
    </xf>
    <xf numFmtId="0" fontId="171" fillId="3" borderId="6" xfId="8" applyFont="1" applyFill="1" applyBorder="1" applyAlignment="1">
      <alignment horizontal="center" vertical="center"/>
    </xf>
    <xf numFmtId="0" fontId="171" fillId="3" borderId="0" xfId="8" applyFont="1" applyFill="1"/>
    <xf numFmtId="0" fontId="184" fillId="31" borderId="5" xfId="8" applyFont="1" applyFill="1" applyBorder="1" applyAlignment="1">
      <alignment vertical="center" wrapText="1"/>
    </xf>
    <xf numFmtId="0" fontId="171" fillId="31" borderId="47" xfId="8" applyFont="1" applyFill="1" applyBorder="1" applyAlignment="1">
      <alignment horizontal="center" vertical="center"/>
    </xf>
    <xf numFmtId="0" fontId="171" fillId="31" borderId="6" xfId="8" applyFont="1" applyFill="1" applyBorder="1" applyAlignment="1">
      <alignment horizontal="center" vertical="center"/>
    </xf>
    <xf numFmtId="0" fontId="171" fillId="3" borderId="1" xfId="8" applyFont="1" applyFill="1" applyBorder="1" applyAlignment="1">
      <alignment horizontal="center" vertical="center"/>
    </xf>
    <xf numFmtId="0" fontId="171" fillId="3" borderId="7" xfId="8" applyFont="1" applyFill="1" applyBorder="1" applyAlignment="1">
      <alignment wrapText="1"/>
    </xf>
    <xf numFmtId="0" fontId="171" fillId="3" borderId="0" xfId="8" applyFont="1" applyFill="1" applyBorder="1" applyAlignment="1">
      <alignment vertical="center" wrapText="1"/>
    </xf>
    <xf numFmtId="0" fontId="184" fillId="3" borderId="0" xfId="8" applyFont="1" applyFill="1" applyBorder="1" applyAlignment="1">
      <alignment horizontal="center" wrapText="1"/>
    </xf>
    <xf numFmtId="0" fontId="184" fillId="3" borderId="0" xfId="8" applyFont="1" applyFill="1" applyBorder="1" applyAlignment="1">
      <alignment horizontal="left" vertical="top" wrapText="1"/>
    </xf>
    <xf numFmtId="0" fontId="171" fillId="3" borderId="0" xfId="8" applyFont="1" applyFill="1" applyBorder="1"/>
    <xf numFmtId="0" fontId="171" fillId="3" borderId="0" xfId="8" applyFont="1" applyFill="1" applyBorder="1" applyAlignment="1">
      <alignment horizontal="left" vertical="top" wrapText="1"/>
    </xf>
    <xf numFmtId="0" fontId="172" fillId="3" borderId="0" xfId="8" applyFont="1" applyFill="1" applyBorder="1" applyAlignment="1">
      <alignment horizontal="center" vertical="center" wrapText="1"/>
    </xf>
    <xf numFmtId="0" fontId="171" fillId="3" borderId="0" xfId="8" applyFont="1" applyFill="1" applyBorder="1" applyAlignment="1">
      <alignment horizontal="center" vertical="center" wrapText="1"/>
    </xf>
    <xf numFmtId="0" fontId="171" fillId="3" borderId="24" xfId="8" applyFont="1" applyFill="1" applyBorder="1" applyAlignment="1">
      <alignment horizontal="center" vertical="center" wrapText="1"/>
    </xf>
    <xf numFmtId="0" fontId="184" fillId="3" borderId="5" xfId="8" applyFont="1" applyFill="1" applyBorder="1" applyAlignment="1">
      <alignment horizontal="right" vertical="center" wrapText="1"/>
    </xf>
    <xf numFmtId="0" fontId="171" fillId="3" borderId="6" xfId="8" applyFont="1" applyFill="1" applyBorder="1" applyAlignment="1">
      <alignment horizontal="right" vertical="center" wrapText="1"/>
    </xf>
    <xf numFmtId="0" fontId="171" fillId="3" borderId="2" xfId="8" applyFont="1" applyFill="1" applyBorder="1" applyAlignment="1">
      <alignment horizontal="right" vertical="center" wrapText="1"/>
    </xf>
    <xf numFmtId="0" fontId="171" fillId="3" borderId="7" xfId="8" applyFont="1" applyFill="1" applyBorder="1" applyAlignment="1">
      <alignment horizontal="right" vertical="center" wrapText="1"/>
    </xf>
    <xf numFmtId="0" fontId="171" fillId="3" borderId="0" xfId="8" applyFont="1" applyFill="1" applyBorder="1" applyAlignment="1">
      <alignment horizontal="justify" vertical="top" wrapText="1"/>
    </xf>
    <xf numFmtId="0" fontId="171" fillId="3" borderId="5" xfId="8" applyFont="1" applyFill="1" applyBorder="1" applyAlignment="1">
      <alignment horizontal="left" vertical="center" wrapText="1"/>
    </xf>
    <xf numFmtId="0" fontId="171" fillId="3" borderId="2" xfId="8" applyFont="1" applyFill="1" applyBorder="1" applyAlignment="1">
      <alignment horizontal="left" vertical="center" wrapText="1"/>
    </xf>
    <xf numFmtId="0" fontId="171" fillId="3" borderId="0" xfId="8" applyFont="1" applyFill="1" applyBorder="1" applyAlignment="1">
      <alignment horizontal="center" vertical="top" wrapText="1"/>
    </xf>
    <xf numFmtId="0" fontId="184" fillId="12" borderId="12" xfId="8" applyFont="1" applyFill="1" applyBorder="1" applyAlignment="1">
      <alignment horizontal="center" vertical="center" wrapText="1"/>
    </xf>
    <xf numFmtId="0" fontId="175" fillId="2" borderId="0" xfId="8" applyFont="1" applyFill="1" applyBorder="1"/>
    <xf numFmtId="0" fontId="61" fillId="0" borderId="35" xfId="0" applyFont="1" applyFill="1" applyBorder="1" applyAlignment="1">
      <alignment horizontal="center" vertical="center" wrapText="1"/>
    </xf>
    <xf numFmtId="0" fontId="184" fillId="31" borderId="47" xfId="8" applyFont="1" applyFill="1" applyBorder="1" applyAlignment="1">
      <alignment vertical="center" wrapText="1"/>
    </xf>
    <xf numFmtId="0" fontId="175" fillId="3" borderId="0" xfId="8" applyFont="1" applyFill="1" applyBorder="1"/>
    <xf numFmtId="0" fontId="192" fillId="3" borderId="0" xfId="8" applyFont="1" applyFill="1" applyBorder="1"/>
    <xf numFmtId="0" fontId="171" fillId="3" borderId="5" xfId="8" applyFont="1" applyFill="1" applyBorder="1" applyAlignment="1">
      <alignment vertical="center" wrapText="1"/>
    </xf>
    <xf numFmtId="0" fontId="186" fillId="3" borderId="0" xfId="8" applyFont="1" applyFill="1" applyBorder="1" applyAlignment="1">
      <alignment vertical="center"/>
    </xf>
    <xf numFmtId="0" fontId="171" fillId="2" borderId="0" xfId="8" applyFont="1" applyFill="1" applyBorder="1"/>
    <xf numFmtId="0" fontId="171" fillId="2" borderId="10" xfId="8" applyFont="1" applyFill="1" applyBorder="1"/>
    <xf numFmtId="0" fontId="171" fillId="2" borderId="9" xfId="8" applyFont="1" applyFill="1" applyBorder="1"/>
    <xf numFmtId="0" fontId="171" fillId="3" borderId="9" xfId="8" applyFont="1" applyFill="1" applyBorder="1"/>
    <xf numFmtId="0" fontId="171" fillId="3" borderId="0" xfId="8" applyFont="1" applyFill="1" applyBorder="1" applyAlignment="1">
      <alignment wrapText="1"/>
    </xf>
    <xf numFmtId="0" fontId="171" fillId="31" borderId="138" xfId="8" applyFont="1" applyFill="1" applyBorder="1" applyAlignment="1">
      <alignment vertical="center" wrapText="1"/>
    </xf>
    <xf numFmtId="0" fontId="171" fillId="3" borderId="33" xfId="8" applyFont="1" applyFill="1" applyBorder="1" applyAlignment="1">
      <alignment vertical="center" wrapText="1"/>
    </xf>
    <xf numFmtId="3" fontId="172" fillId="3" borderId="111" xfId="8" applyNumberFormat="1" applyFont="1" applyFill="1" applyBorder="1" applyAlignment="1">
      <alignment horizontal="center" vertical="center" wrapText="1"/>
    </xf>
    <xf numFmtId="0" fontId="188" fillId="3" borderId="3" xfId="8" applyFont="1" applyFill="1" applyBorder="1" applyAlignment="1">
      <alignment vertical="center" wrapText="1"/>
    </xf>
    <xf numFmtId="0" fontId="171" fillId="3" borderId="5" xfId="8" applyFont="1" applyFill="1" applyBorder="1" applyAlignment="1">
      <alignment horizontal="center" vertical="center" wrapText="1"/>
    </xf>
    <xf numFmtId="0" fontId="171" fillId="3" borderId="6" xfId="8" applyFont="1" applyFill="1" applyBorder="1" applyAlignment="1">
      <alignment horizontal="center" vertical="center" wrapText="1"/>
    </xf>
    <xf numFmtId="0" fontId="171" fillId="3" borderId="5" xfId="8" applyFont="1" applyFill="1" applyBorder="1" applyAlignment="1">
      <alignment horizontal="justify" vertical="center" wrapText="1"/>
    </xf>
    <xf numFmtId="0" fontId="172" fillId="3" borderId="5" xfId="8" applyFont="1" applyFill="1" applyBorder="1" applyAlignment="1">
      <alignment horizontal="left" vertical="center" wrapText="1"/>
    </xf>
    <xf numFmtId="0" fontId="172" fillId="3" borderId="5" xfId="8" applyFont="1" applyFill="1" applyBorder="1" applyAlignment="1">
      <alignment horizontal="left" vertical="center"/>
    </xf>
    <xf numFmtId="0" fontId="171" fillId="0" borderId="2" xfId="8" applyFont="1" applyBorder="1"/>
    <xf numFmtId="0" fontId="171" fillId="3" borderId="111" xfId="0" applyFont="1" applyFill="1" applyBorder="1" applyAlignment="1">
      <alignment horizontal="center" vertical="center" wrapText="1"/>
    </xf>
    <xf numFmtId="0" fontId="183" fillId="3" borderId="112" xfId="0" applyFont="1" applyFill="1" applyBorder="1" applyAlignment="1">
      <alignment vertical="center" wrapText="1"/>
    </xf>
    <xf numFmtId="0" fontId="187" fillId="3" borderId="34" xfId="8" applyFont="1" applyFill="1" applyBorder="1" applyAlignment="1">
      <alignment horizontal="center" vertical="center" wrapText="1"/>
    </xf>
    <xf numFmtId="0" fontId="175" fillId="3" borderId="47" xfId="8" applyFont="1" applyFill="1" applyBorder="1" applyAlignment="1">
      <alignment horizontal="center" vertical="center" wrapText="1"/>
    </xf>
    <xf numFmtId="0" fontId="175" fillId="3" borderId="20" xfId="8" applyFont="1" applyFill="1" applyBorder="1" applyAlignment="1">
      <alignment horizontal="center" vertical="center" wrapText="1"/>
    </xf>
    <xf numFmtId="0" fontId="176" fillId="25" borderId="47" xfId="21" applyFont="1" applyFill="1" applyBorder="1" applyAlignment="1">
      <alignment horizontal="center" wrapText="1"/>
    </xf>
    <xf numFmtId="0" fontId="193" fillId="0" borderId="47" xfId="0" applyFont="1" applyBorder="1" applyAlignment="1">
      <alignment vertical="top" wrapText="1"/>
    </xf>
    <xf numFmtId="0" fontId="81" fillId="3" borderId="0" xfId="21" applyFont="1" applyFill="1"/>
    <xf numFmtId="0" fontId="172" fillId="3" borderId="47" xfId="21" applyFont="1" applyFill="1" applyBorder="1" applyAlignment="1">
      <alignment horizontal="center" vertical="top" wrapText="1"/>
    </xf>
    <xf numFmtId="0" fontId="171" fillId="3" borderId="47" xfId="0" applyFont="1" applyFill="1" applyBorder="1" applyAlignment="1">
      <alignment horizontal="left" vertical="top" wrapText="1"/>
    </xf>
    <xf numFmtId="0" fontId="172" fillId="3" borderId="0" xfId="21" applyFont="1" applyFill="1" applyAlignment="1">
      <alignment wrapText="1"/>
    </xf>
    <xf numFmtId="0" fontId="172" fillId="3" borderId="47" xfId="21" applyFont="1" applyFill="1" applyBorder="1" applyAlignment="1">
      <alignment horizontal="center" vertical="center"/>
    </xf>
    <xf numFmtId="0" fontId="172" fillId="3" borderId="47" xfId="21" applyFont="1" applyFill="1" applyBorder="1" applyAlignment="1">
      <alignment horizontal="left" vertical="top" wrapText="1"/>
    </xf>
    <xf numFmtId="0" fontId="81" fillId="3" borderId="47" xfId="21" applyFont="1" applyFill="1" applyBorder="1" applyAlignment="1">
      <alignment horizontal="center" vertical="center"/>
    </xf>
    <xf numFmtId="0" fontId="81" fillId="3" borderId="47" xfId="21" applyFont="1" applyFill="1" applyBorder="1" applyAlignment="1">
      <alignment horizontal="left" vertical="top" wrapText="1"/>
    </xf>
    <xf numFmtId="0" fontId="81" fillId="3" borderId="47" xfId="21" applyFont="1" applyFill="1" applyBorder="1" applyAlignment="1">
      <alignment vertical="center"/>
    </xf>
    <xf numFmtId="0" fontId="194" fillId="0" borderId="47" xfId="0" applyFont="1" applyBorder="1" applyAlignment="1">
      <alignment horizontal="justify" vertical="top"/>
    </xf>
    <xf numFmtId="0" fontId="196" fillId="0" borderId="47" xfId="0" applyFont="1" applyBorder="1" applyAlignment="1">
      <alignment horizontal="justify" vertical="top"/>
    </xf>
    <xf numFmtId="0" fontId="172" fillId="31" borderId="47" xfId="0" applyFont="1" applyFill="1" applyBorder="1" applyAlignment="1">
      <alignment horizontal="center" vertical="center" wrapText="1"/>
    </xf>
    <xf numFmtId="0" fontId="172" fillId="0" borderId="47" xfId="0" applyFont="1" applyFill="1" applyBorder="1" applyAlignment="1">
      <alignment horizontal="justify" vertical="center" wrapText="1"/>
    </xf>
    <xf numFmtId="0" fontId="171" fillId="0" borderId="47" xfId="0" applyFont="1" applyFill="1" applyBorder="1" applyAlignment="1">
      <alignment horizontal="justify" vertical="center" wrapText="1"/>
    </xf>
    <xf numFmtId="0" fontId="171" fillId="0" borderId="0" xfId="0" applyFont="1" applyFill="1" applyBorder="1" applyAlignment="1">
      <alignment horizontal="justify" vertical="center" wrapText="1"/>
    </xf>
    <xf numFmtId="0" fontId="59" fillId="0" borderId="0" xfId="0" applyFont="1" applyFill="1" applyBorder="1" applyAlignment="1">
      <alignment horizontal="justify" vertical="center" wrapText="1"/>
    </xf>
    <xf numFmtId="49" fontId="172" fillId="31" borderId="4" xfId="0" applyNumberFormat="1" applyFont="1" applyFill="1" applyBorder="1" applyAlignment="1">
      <alignment horizontal="center" vertical="center" wrapText="1"/>
    </xf>
    <xf numFmtId="0" fontId="59" fillId="0" borderId="5" xfId="0" applyFont="1" applyFill="1" applyBorder="1" applyAlignment="1">
      <alignment horizontal="justify" vertical="center" wrapText="1"/>
    </xf>
    <xf numFmtId="0" fontId="60" fillId="0" borderId="6" xfId="0" applyFont="1" applyFill="1" applyBorder="1" applyAlignment="1">
      <alignment horizontal="justify" vertical="center" wrapText="1"/>
    </xf>
    <xf numFmtId="0" fontId="172" fillId="0" borderId="6" xfId="0" applyFont="1" applyFill="1" applyBorder="1" applyAlignment="1">
      <alignment horizontal="justify" vertical="center" wrapText="1"/>
    </xf>
    <xf numFmtId="0" fontId="171" fillId="0" borderId="6" xfId="0" applyFont="1" applyFill="1" applyBorder="1" applyAlignment="1">
      <alignment horizontal="justify" vertical="center" wrapText="1"/>
    </xf>
    <xf numFmtId="0" fontId="171" fillId="0" borderId="1" xfId="0" applyFont="1" applyFill="1" applyBorder="1" applyAlignment="1">
      <alignment horizontal="justify" vertical="center" wrapText="1"/>
    </xf>
    <xf numFmtId="0" fontId="171" fillId="0" borderId="7" xfId="0" applyFont="1" applyFill="1" applyBorder="1" applyAlignment="1">
      <alignment horizontal="justify" vertical="center" wrapText="1"/>
    </xf>
    <xf numFmtId="0" fontId="171" fillId="0" borderId="5" xfId="0" applyFont="1" applyFill="1" applyBorder="1" applyAlignment="1">
      <alignment horizontal="justify" vertical="center" wrapText="1"/>
    </xf>
    <xf numFmtId="0" fontId="171" fillId="0" borderId="2" xfId="0" applyFont="1" applyFill="1" applyBorder="1" applyAlignment="1">
      <alignment horizontal="justify" vertical="center" wrapText="1"/>
    </xf>
    <xf numFmtId="0" fontId="72" fillId="3" borderId="8" xfId="8" applyFont="1" applyFill="1" applyBorder="1" applyAlignment="1">
      <alignment horizontal="center" vertical="center" wrapText="1"/>
    </xf>
    <xf numFmtId="0" fontId="200" fillId="37" borderId="5" xfId="0" applyFont="1" applyFill="1" applyBorder="1" applyAlignment="1">
      <alignment horizontal="justify" vertical="center" wrapText="1" readingOrder="1"/>
    </xf>
    <xf numFmtId="0" fontId="200" fillId="37" borderId="9" xfId="0" applyFont="1" applyFill="1" applyBorder="1" applyAlignment="1">
      <alignment horizontal="justify" vertical="top" wrapText="1" readingOrder="1"/>
    </xf>
    <xf numFmtId="0" fontId="200" fillId="37" borderId="47" xfId="0" applyFont="1" applyFill="1" applyBorder="1" applyAlignment="1">
      <alignment horizontal="center" vertical="center" wrapText="1" readingOrder="1"/>
    </xf>
    <xf numFmtId="0" fontId="60" fillId="34" borderId="138" xfId="8" applyFont="1" applyFill="1" applyBorder="1" applyAlignment="1">
      <alignment horizontal="center" vertical="center" wrapText="1"/>
    </xf>
    <xf numFmtId="0" fontId="172" fillId="3" borderId="47" xfId="21" applyFont="1" applyFill="1" applyBorder="1" applyAlignment="1">
      <alignment vertical="top" wrapText="1"/>
    </xf>
    <xf numFmtId="0" fontId="200" fillId="37" borderId="8" xfId="0" applyFont="1" applyFill="1" applyBorder="1" applyAlignment="1">
      <alignment horizontal="center" vertical="center" wrapText="1" readingOrder="1"/>
    </xf>
    <xf numFmtId="0" fontId="170" fillId="0" borderId="47" xfId="0" applyFont="1" applyFill="1" applyBorder="1" applyAlignment="1">
      <alignment wrapText="1"/>
    </xf>
    <xf numFmtId="0" fontId="171" fillId="0" borderId="47" xfId="0" applyFont="1" applyFill="1" applyBorder="1"/>
    <xf numFmtId="0" fontId="172" fillId="0" borderId="47" xfId="4" applyFont="1" applyFill="1" applyBorder="1" applyAlignment="1" applyProtection="1">
      <alignment wrapText="1"/>
    </xf>
    <xf numFmtId="0" fontId="172" fillId="0" borderId="47" xfId="4" applyFont="1" applyFill="1" applyBorder="1" applyAlignment="1" applyProtection="1"/>
    <xf numFmtId="0" fontId="172" fillId="0" borderId="47" xfId="0" applyFont="1" applyFill="1" applyBorder="1"/>
    <xf numFmtId="0" fontId="54" fillId="0" borderId="47" xfId="8" applyFont="1" applyFill="1" applyBorder="1" applyAlignment="1">
      <alignment horizontal="justify" vertical="top" wrapText="1"/>
    </xf>
    <xf numFmtId="0" fontId="169" fillId="0" borderId="47" xfId="8" applyFont="1" applyFill="1" applyBorder="1" applyAlignment="1">
      <alignment horizontal="justify" vertical="top" wrapText="1"/>
    </xf>
    <xf numFmtId="0" fontId="173" fillId="0" borderId="47" xfId="4" applyFont="1" applyFill="1" applyBorder="1" applyAlignment="1" applyProtection="1">
      <alignment wrapText="1"/>
    </xf>
    <xf numFmtId="0" fontId="173" fillId="0" borderId="47" xfId="4" applyFont="1" applyFill="1" applyBorder="1" applyAlignment="1" applyProtection="1"/>
    <xf numFmtId="17" fontId="173" fillId="0" borderId="47" xfId="4" applyNumberFormat="1" applyFont="1" applyFill="1" applyBorder="1" applyAlignment="1" applyProtection="1">
      <alignment wrapText="1"/>
    </xf>
    <xf numFmtId="0" fontId="180" fillId="0" borderId="47" xfId="18" applyFont="1" applyFill="1" applyBorder="1" applyAlignment="1">
      <alignment vertical="center" wrapText="1"/>
    </xf>
    <xf numFmtId="0" fontId="179" fillId="0" borderId="47" xfId="18" applyFont="1" applyFill="1" applyBorder="1" applyAlignment="1">
      <alignment vertical="center" wrapText="1"/>
    </xf>
    <xf numFmtId="0" fontId="181" fillId="0" borderId="47" xfId="18" applyFont="1" applyFill="1" applyBorder="1" applyAlignment="1">
      <alignment horizontal="left" vertical="center" wrapText="1"/>
    </xf>
    <xf numFmtId="0" fontId="182" fillId="0" borderId="47" xfId="18" applyFont="1" applyFill="1" applyBorder="1" applyAlignment="1">
      <alignment horizontal="left" vertical="center" wrapText="1"/>
    </xf>
    <xf numFmtId="0" fontId="183" fillId="0" borderId="47" xfId="18" applyFont="1" applyFill="1" applyBorder="1" applyAlignment="1">
      <alignment horizontal="left" vertical="center" wrapText="1"/>
    </xf>
    <xf numFmtId="0" fontId="85" fillId="0" borderId="32" xfId="21" applyFont="1" applyFill="1" applyBorder="1"/>
    <xf numFmtId="0" fontId="85" fillId="0" borderId="41" xfId="21" applyFont="1" applyFill="1" applyBorder="1"/>
    <xf numFmtId="0" fontId="85" fillId="0" borderId="37" xfId="21" applyFont="1" applyFill="1" applyBorder="1"/>
    <xf numFmtId="0" fontId="176" fillId="0" borderId="47" xfId="21" applyFont="1" applyFill="1" applyBorder="1" applyAlignment="1">
      <alignment horizontal="center" wrapText="1"/>
    </xf>
    <xf numFmtId="0" fontId="172" fillId="0" borderId="47" xfId="21" applyFont="1" applyFill="1" applyBorder="1" applyAlignment="1">
      <alignment horizontal="center" vertical="center"/>
    </xf>
    <xf numFmtId="0" fontId="172" fillId="0" borderId="0" xfId="21" applyFont="1" applyFill="1"/>
    <xf numFmtId="0" fontId="38" fillId="0" borderId="47" xfId="8" applyFill="1" applyBorder="1" applyAlignment="1">
      <alignment horizontal="center" vertical="center"/>
    </xf>
    <xf numFmtId="0" fontId="46" fillId="0" borderId="0" xfId="8" applyFont="1" applyFill="1" applyBorder="1" applyAlignment="1">
      <alignment vertical="top" wrapText="1"/>
    </xf>
    <xf numFmtId="0" fontId="203" fillId="37" borderId="3" xfId="0" applyFont="1" applyFill="1" applyBorder="1" applyAlignment="1">
      <alignment horizontal="center" vertical="center" wrapText="1" readingOrder="1"/>
    </xf>
    <xf numFmtId="0" fontId="203" fillId="37" borderId="55" xfId="0" applyFont="1" applyFill="1" applyBorder="1" applyAlignment="1">
      <alignment horizontal="center" vertical="center" wrapText="1" readingOrder="1"/>
    </xf>
    <xf numFmtId="0" fontId="203" fillId="37" borderId="4" xfId="0" applyFont="1" applyFill="1" applyBorder="1" applyAlignment="1">
      <alignment horizontal="center" vertical="center" wrapText="1" readingOrder="1"/>
    </xf>
    <xf numFmtId="0" fontId="200" fillId="37" borderId="47" xfId="0" applyFont="1" applyFill="1" applyBorder="1" applyAlignment="1">
      <alignment horizontal="left" vertical="top" wrapText="1" readingOrder="1"/>
    </xf>
    <xf numFmtId="0" fontId="44" fillId="0" borderId="47" xfId="8" applyFont="1" applyFill="1" applyBorder="1" applyAlignment="1">
      <alignment horizontal="center" vertical="center" wrapText="1"/>
    </xf>
    <xf numFmtId="2" fontId="39" fillId="0" borderId="11" xfId="8" applyNumberFormat="1" applyFont="1" applyBorder="1" applyAlignment="1">
      <alignment vertical="center"/>
    </xf>
    <xf numFmtId="0" fontId="24" fillId="0" borderId="47" xfId="13" applyFont="1" applyFill="1" applyBorder="1" applyAlignment="1">
      <alignment vertical="center"/>
    </xf>
    <xf numFmtId="0" fontId="20" fillId="0" borderId="47" xfId="13" applyFont="1" applyFill="1" applyBorder="1" applyAlignment="1">
      <alignment horizontal="center" vertical="center"/>
    </xf>
    <xf numFmtId="0" fontId="0" fillId="0" borderId="47" xfId="0" applyFill="1" applyBorder="1"/>
    <xf numFmtId="0" fontId="23" fillId="0" borderId="9" xfId="13" applyFont="1" applyFill="1" applyBorder="1" applyAlignment="1">
      <alignment vertical="center"/>
    </xf>
    <xf numFmtId="0" fontId="85" fillId="0" borderId="4" xfId="8" applyFont="1" applyFill="1" applyBorder="1" applyAlignment="1">
      <alignment horizontal="center" vertical="center" wrapText="1"/>
    </xf>
    <xf numFmtId="0" fontId="85" fillId="0" borderId="51" xfId="8" applyFont="1" applyFill="1" applyBorder="1" applyAlignment="1">
      <alignment horizontal="center" vertical="center" wrapText="1"/>
    </xf>
    <xf numFmtId="0" fontId="85" fillId="0" borderId="6" xfId="8" applyFont="1" applyFill="1" applyBorder="1" applyAlignment="1">
      <alignment horizontal="center" vertical="center" wrapText="1"/>
    </xf>
    <xf numFmtId="164" fontId="85" fillId="0" borderId="9" xfId="13" applyNumberFormat="1" applyFont="1" applyFill="1" applyBorder="1" applyAlignment="1">
      <alignment vertical="center"/>
    </xf>
    <xf numFmtId="164" fontId="85" fillId="0" borderId="47" xfId="13" applyNumberFormat="1" applyFont="1" applyFill="1" applyBorder="1" applyAlignment="1">
      <alignment vertical="center"/>
    </xf>
    <xf numFmtId="164" fontId="85" fillId="0" borderId="48" xfId="13" applyNumberFormat="1" applyFont="1" applyFill="1" applyBorder="1" applyAlignment="1">
      <alignment vertical="center"/>
    </xf>
    <xf numFmtId="164" fontId="70" fillId="0" borderId="68" xfId="8" applyNumberFormat="1" applyFont="1" applyFill="1" applyBorder="1" applyAlignment="1">
      <alignment vertical="center" wrapText="1"/>
    </xf>
    <xf numFmtId="0" fontId="85" fillId="0" borderId="55" xfId="8" applyFont="1" applyFill="1" applyBorder="1" applyAlignment="1">
      <alignment horizontal="center" vertical="center" wrapText="1"/>
    </xf>
    <xf numFmtId="1" fontId="70" fillId="0" borderId="68" xfId="8" applyNumberFormat="1" applyFont="1" applyFill="1" applyBorder="1" applyAlignment="1">
      <alignment horizontal="center" vertical="center" wrapText="1"/>
    </xf>
    <xf numFmtId="43" fontId="85" fillId="0" borderId="9" xfId="20" applyFont="1" applyFill="1" applyBorder="1" applyAlignment="1">
      <alignment vertical="center"/>
    </xf>
    <xf numFmtId="43" fontId="85" fillId="0" borderId="47" xfId="20" applyFont="1" applyFill="1" applyBorder="1" applyAlignment="1">
      <alignment vertical="center"/>
    </xf>
    <xf numFmtId="0" fontId="85" fillId="0" borderId="9" xfId="8" applyFont="1" applyFill="1" applyBorder="1" applyAlignment="1">
      <alignment horizontal="center" vertical="center" wrapText="1"/>
    </xf>
    <xf numFmtId="0" fontId="85" fillId="0" borderId="47" xfId="8" applyFont="1" applyFill="1" applyBorder="1" applyAlignment="1">
      <alignment horizontal="center" vertical="center" wrapText="1"/>
    </xf>
    <xf numFmtId="0" fontId="85" fillId="0" borderId="48" xfId="8" applyFont="1" applyFill="1" applyBorder="1" applyAlignment="1">
      <alignment horizontal="center" vertical="center" wrapText="1"/>
    </xf>
    <xf numFmtId="43" fontId="85" fillId="0" borderId="48" xfId="20" applyFont="1" applyFill="1" applyBorder="1" applyAlignment="1">
      <alignment vertical="center"/>
    </xf>
    <xf numFmtId="0" fontId="85" fillId="0" borderId="9" xfId="8" applyFont="1" applyFill="1" applyBorder="1" applyAlignment="1">
      <alignment vertical="center" wrapText="1"/>
    </xf>
    <xf numFmtId="0" fontId="85" fillId="0" borderId="137" xfId="8" applyFont="1" applyFill="1" applyBorder="1" applyAlignment="1">
      <alignment horizontal="center" vertical="center" wrapText="1"/>
    </xf>
    <xf numFmtId="43" fontId="38" fillId="0" borderId="47" xfId="0" applyNumberFormat="1" applyFont="1" applyFill="1" applyBorder="1" applyAlignment="1" applyProtection="1">
      <alignment horizontal="left" vertical="center"/>
    </xf>
    <xf numFmtId="164" fontId="70" fillId="0" borderId="147" xfId="8" applyNumberFormat="1" applyFont="1" applyFill="1" applyBorder="1" applyAlignment="1">
      <alignment vertical="center" wrapText="1"/>
    </xf>
    <xf numFmtId="43" fontId="39" fillId="0" borderId="47" xfId="0" applyNumberFormat="1" applyFont="1" applyFill="1" applyBorder="1" applyAlignment="1" applyProtection="1">
      <alignment horizontal="left" vertical="center"/>
    </xf>
    <xf numFmtId="164" fontId="70" fillId="0" borderId="47" xfId="8" applyNumberFormat="1" applyFont="1" applyFill="1" applyBorder="1" applyAlignment="1">
      <alignment vertical="center" wrapText="1"/>
    </xf>
    <xf numFmtId="172" fontId="39" fillId="0" borderId="47" xfId="0" applyNumberFormat="1" applyFont="1" applyFill="1" applyBorder="1" applyAlignment="1" applyProtection="1">
      <alignment horizontal="left" vertical="center"/>
    </xf>
    <xf numFmtId="2" fontId="70" fillId="0" borderId="68" xfId="8" applyNumberFormat="1" applyFont="1" applyFill="1" applyBorder="1" applyAlignment="1">
      <alignment vertical="center" wrapText="1"/>
    </xf>
    <xf numFmtId="0" fontId="35" fillId="0" borderId="38" xfId="13" applyFill="1" applyBorder="1" applyAlignment="1"/>
    <xf numFmtId="0" fontId="35" fillId="0" borderId="10" xfId="13" applyFill="1" applyBorder="1" applyAlignment="1"/>
    <xf numFmtId="0" fontId="21" fillId="0" borderId="47" xfId="13" applyFont="1" applyFill="1" applyBorder="1" applyAlignment="1">
      <alignment horizontal="center" vertical="center"/>
    </xf>
    <xf numFmtId="2" fontId="70" fillId="0" borderId="68" xfId="8" applyNumberFormat="1" applyFont="1" applyFill="1" applyBorder="1" applyAlignment="1">
      <alignment horizontal="center" vertical="center" wrapText="1"/>
    </xf>
    <xf numFmtId="0" fontId="22" fillId="0" borderId="47" xfId="13" applyFont="1" applyFill="1" applyBorder="1" applyAlignment="1">
      <alignment horizontal="justify" vertical="center" wrapText="1"/>
    </xf>
    <xf numFmtId="43" fontId="21" fillId="0" borderId="47" xfId="13" applyNumberFormat="1" applyFont="1" applyFill="1" applyBorder="1" applyAlignment="1">
      <alignment horizontal="center" vertical="center"/>
    </xf>
    <xf numFmtId="0" fontId="24" fillId="0" borderId="9" xfId="13" applyFont="1" applyFill="1" applyBorder="1" applyAlignment="1">
      <alignment vertical="center"/>
    </xf>
    <xf numFmtId="0" fontId="35" fillId="0" borderId="0" xfId="13" applyFill="1"/>
    <xf numFmtId="0" fontId="18" fillId="0" borderId="47" xfId="13" applyFont="1" applyFill="1" applyBorder="1" applyAlignment="1">
      <alignment horizontal="center" vertical="center"/>
    </xf>
    <xf numFmtId="0" fontId="23" fillId="0" borderId="47" xfId="13" applyFont="1" applyFill="1" applyBorder="1" applyAlignment="1">
      <alignment horizontal="center" vertical="center"/>
    </xf>
    <xf numFmtId="0" fontId="35" fillId="0" borderId="11" xfId="13" applyFill="1" applyBorder="1" applyAlignment="1"/>
    <xf numFmtId="0" fontId="171" fillId="0" borderId="47" xfId="0" applyFont="1" applyBorder="1" applyAlignment="1">
      <alignment horizontal="center" vertical="top" wrapText="1"/>
    </xf>
    <xf numFmtId="0" fontId="171" fillId="3" borderId="47" xfId="0" applyFont="1" applyFill="1" applyBorder="1" applyAlignment="1">
      <alignment horizontal="center" vertical="top" wrapText="1"/>
    </xf>
    <xf numFmtId="0" fontId="171" fillId="3" borderId="47" xfId="0" applyNumberFormat="1" applyFont="1" applyFill="1" applyBorder="1" applyAlignment="1">
      <alignment vertical="top" wrapText="1"/>
    </xf>
    <xf numFmtId="0" fontId="59" fillId="32" borderId="47" xfId="8" applyFont="1" applyFill="1" applyBorder="1" applyAlignment="1">
      <alignment horizontal="center" vertical="center" wrapText="1"/>
    </xf>
    <xf numFmtId="0" fontId="81" fillId="32" borderId="47" xfId="8" applyFont="1" applyFill="1" applyBorder="1" applyAlignment="1">
      <alignment horizontal="center" vertical="center" wrapText="1"/>
    </xf>
    <xf numFmtId="0" fontId="169" fillId="0" borderId="47" xfId="8" applyFont="1" applyFill="1" applyBorder="1" applyAlignment="1">
      <alignment horizontal="left" vertical="justify" wrapText="1"/>
    </xf>
    <xf numFmtId="0" fontId="54" fillId="0" borderId="47" xfId="8" applyFont="1" applyFill="1" applyBorder="1" applyAlignment="1">
      <alignment horizontal="left" vertical="top" wrapText="1"/>
    </xf>
    <xf numFmtId="0" fontId="89" fillId="21" borderId="58" xfId="0" applyFont="1" applyFill="1" applyBorder="1" applyAlignment="1">
      <alignment horizontal="center" vertical="center" textRotation="90" wrapText="1"/>
    </xf>
    <xf numFmtId="0" fontId="89" fillId="21" borderId="138" xfId="0" applyFont="1" applyFill="1" applyBorder="1" applyAlignment="1">
      <alignment horizontal="center" vertical="center" textRotation="90" wrapText="1"/>
    </xf>
    <xf numFmtId="0" fontId="77" fillId="21" borderId="50" xfId="0" applyFont="1" applyFill="1" applyBorder="1" applyAlignment="1">
      <alignment horizontal="center" vertical="center" wrapText="1"/>
    </xf>
    <xf numFmtId="0" fontId="77" fillId="21" borderId="58" xfId="0" applyFont="1" applyFill="1" applyBorder="1" applyAlignment="1">
      <alignment horizontal="center" vertical="center" textRotation="90" wrapText="1"/>
    </xf>
    <xf numFmtId="0" fontId="77" fillId="21" borderId="138" xfId="0" applyFont="1" applyFill="1" applyBorder="1" applyAlignment="1">
      <alignment horizontal="center" vertical="center" textRotation="90" wrapText="1"/>
    </xf>
    <xf numFmtId="0" fontId="77" fillId="21" borderId="50" xfId="0" applyFont="1" applyFill="1" applyBorder="1" applyAlignment="1">
      <alignment horizontal="center" vertical="center" textRotation="90" wrapText="1"/>
    </xf>
    <xf numFmtId="0" fontId="59" fillId="0" borderId="47" xfId="0" applyFont="1" applyBorder="1" applyAlignment="1">
      <alignment vertical="center" wrapText="1"/>
    </xf>
    <xf numFmtId="0" fontId="59" fillId="0" borderId="47" xfId="0" applyFont="1" applyBorder="1" applyAlignment="1">
      <alignment horizontal="center" vertical="center" wrapText="1"/>
    </xf>
    <xf numFmtId="43" fontId="107" fillId="8" borderId="47" xfId="20" applyFont="1" applyFill="1" applyBorder="1" applyAlignment="1">
      <alignment horizontal="center" vertical="center"/>
    </xf>
    <xf numFmtId="165" fontId="107" fillId="6" borderId="47" xfId="18" applyNumberFormat="1" applyFont="1" applyFill="1" applyBorder="1" applyAlignment="1">
      <alignment horizontal="center" vertical="center"/>
    </xf>
    <xf numFmtId="2" fontId="107" fillId="13" borderId="47" xfId="18" applyNumberFormat="1" applyFont="1" applyFill="1" applyBorder="1" applyAlignment="1">
      <alignment horizontal="center" vertical="center"/>
    </xf>
    <xf numFmtId="0" fontId="31" fillId="0" borderId="47" xfId="18" applyBorder="1" applyAlignment="1">
      <alignment horizontal="center" vertical="center"/>
    </xf>
    <xf numFmtId="165" fontId="106" fillId="0" borderId="47" xfId="18" applyNumberFormat="1" applyFont="1" applyBorder="1" applyAlignment="1" applyProtection="1">
      <alignment horizontal="center" vertical="center"/>
      <protection locked="0"/>
    </xf>
    <xf numFmtId="0" fontId="105" fillId="14" borderId="47" xfId="18" applyFont="1" applyFill="1" applyBorder="1" applyAlignment="1">
      <alignment horizontal="center" vertical="center" textRotation="90" wrapText="1"/>
    </xf>
    <xf numFmtId="0" fontId="109" fillId="15" borderId="47" xfId="18" applyFont="1" applyFill="1" applyBorder="1" applyAlignment="1">
      <alignment horizontal="center" vertical="center" wrapText="1"/>
    </xf>
    <xf numFmtId="0" fontId="105" fillId="14" borderId="9" xfId="18" applyFont="1" applyFill="1" applyBorder="1" applyAlignment="1">
      <alignment horizontal="center" vertical="center" textRotation="90" wrapText="1"/>
    </xf>
    <xf numFmtId="2" fontId="108" fillId="15" borderId="0" xfId="18" applyNumberFormat="1" applyFont="1" applyFill="1" applyBorder="1" applyAlignment="1">
      <alignment horizontal="center" vertical="center"/>
    </xf>
    <xf numFmtId="0" fontId="184" fillId="0" borderId="138" xfId="18" applyFont="1" applyFill="1" applyBorder="1" applyAlignment="1">
      <alignment horizontal="center" vertical="center" textRotation="90" wrapText="1"/>
    </xf>
    <xf numFmtId="0" fontId="185" fillId="0" borderId="138" xfId="18" applyFont="1" applyFill="1" applyBorder="1" applyAlignment="1">
      <alignment horizontal="center" vertical="center" textRotation="90" wrapText="1"/>
    </xf>
    <xf numFmtId="2" fontId="108" fillId="15" borderId="47" xfId="18" applyNumberFormat="1" applyFont="1" applyFill="1" applyBorder="1" applyAlignment="1">
      <alignment horizontal="center" vertical="center"/>
    </xf>
    <xf numFmtId="0" fontId="110" fillId="14" borderId="153" xfId="18" applyFont="1" applyFill="1" applyBorder="1" applyAlignment="1">
      <alignment horizontal="center" vertical="center" wrapText="1"/>
    </xf>
    <xf numFmtId="0" fontId="112" fillId="16" borderId="154" xfId="18" applyFont="1" applyFill="1" applyBorder="1" applyAlignment="1">
      <alignment horizontal="center" vertical="center"/>
    </xf>
    <xf numFmtId="0" fontId="113" fillId="0" borderId="155" xfId="18" applyFont="1" applyFill="1" applyBorder="1" applyAlignment="1">
      <alignment horizontal="center" vertical="center"/>
    </xf>
    <xf numFmtId="0" fontId="113" fillId="0" borderId="156" xfId="18" applyFont="1" applyFill="1" applyBorder="1" applyAlignment="1">
      <alignment horizontal="center" vertical="center"/>
    </xf>
    <xf numFmtId="0" fontId="110" fillId="14" borderId="159" xfId="18" applyFont="1" applyFill="1" applyBorder="1" applyAlignment="1">
      <alignment horizontal="center" vertical="center" wrapText="1"/>
    </xf>
    <xf numFmtId="2" fontId="111" fillId="14" borderId="160" xfId="18" applyNumberFormat="1" applyFont="1" applyFill="1" applyBorder="1" applyAlignment="1">
      <alignment horizontal="center" vertical="center" wrapText="1"/>
    </xf>
    <xf numFmtId="2" fontId="110" fillId="14" borderId="161" xfId="18" applyNumberFormat="1" applyFont="1" applyFill="1" applyBorder="1" applyAlignment="1">
      <alignment horizontal="center" vertical="center" wrapText="1"/>
    </xf>
    <xf numFmtId="2" fontId="111" fillId="14" borderId="163" xfId="18" applyNumberFormat="1" applyFont="1" applyFill="1" applyBorder="1" applyAlignment="1">
      <alignment horizontal="center" vertical="center" wrapText="1"/>
    </xf>
    <xf numFmtId="0" fontId="112" fillId="16" borderId="164" xfId="18" applyFont="1" applyFill="1" applyBorder="1" applyAlignment="1">
      <alignment horizontal="left" vertical="center" wrapText="1"/>
    </xf>
    <xf numFmtId="2" fontId="113" fillId="0" borderId="165" xfId="18" applyNumberFormat="1" applyFont="1" applyFill="1" applyBorder="1" applyAlignment="1">
      <alignment vertical="center"/>
    </xf>
    <xf numFmtId="0" fontId="112" fillId="0" borderId="166" xfId="18" applyFont="1" applyFill="1" applyBorder="1" applyAlignment="1">
      <alignment horizontal="left" vertical="center" wrapText="1"/>
    </xf>
    <xf numFmtId="0" fontId="113" fillId="0" borderId="166" xfId="18" applyFont="1" applyFill="1" applyBorder="1" applyAlignment="1">
      <alignment horizontal="left" vertical="center" wrapText="1"/>
    </xf>
    <xf numFmtId="2" fontId="113" fillId="0" borderId="27" xfId="18" applyNumberFormat="1" applyFont="1" applyFill="1" applyBorder="1" applyAlignment="1">
      <alignment vertical="center"/>
    </xf>
    <xf numFmtId="0" fontId="113" fillId="0" borderId="167" xfId="18" applyFont="1" applyFill="1" applyBorder="1" applyAlignment="1">
      <alignment horizontal="left" vertical="center" wrapText="1"/>
    </xf>
    <xf numFmtId="2" fontId="112" fillId="0" borderId="168" xfId="18" applyNumberFormat="1" applyFont="1" applyFill="1" applyBorder="1" applyAlignment="1">
      <alignment vertical="center"/>
    </xf>
    <xf numFmtId="1" fontId="113" fillId="0" borderId="17" xfId="18" applyNumberFormat="1" applyFont="1" applyFill="1" applyBorder="1" applyAlignment="1">
      <alignment horizontal="center" vertical="center"/>
    </xf>
    <xf numFmtId="2" fontId="113" fillId="0" borderId="28" xfId="18" applyNumberFormat="1" applyFont="1" applyFill="1" applyBorder="1" applyAlignment="1">
      <alignment vertical="center"/>
    </xf>
    <xf numFmtId="0" fontId="180" fillId="0" borderId="30" xfId="18" applyFont="1" applyFill="1" applyBorder="1" applyAlignment="1">
      <alignment vertical="center" wrapText="1"/>
    </xf>
    <xf numFmtId="0" fontId="179" fillId="0" borderId="30" xfId="18" applyFont="1" applyFill="1" applyBorder="1" applyAlignment="1">
      <alignment vertical="center" wrapText="1"/>
    </xf>
    <xf numFmtId="43" fontId="107" fillId="8" borderId="30" xfId="20" applyFont="1" applyFill="1" applyBorder="1" applyAlignment="1">
      <alignment horizontal="center" vertical="center"/>
    </xf>
    <xf numFmtId="0" fontId="181" fillId="0" borderId="30" xfId="18" applyFont="1" applyFill="1" applyBorder="1" applyAlignment="1">
      <alignment horizontal="left" vertical="center" wrapText="1"/>
    </xf>
    <xf numFmtId="0" fontId="182" fillId="0" borderId="30" xfId="18" applyFont="1" applyFill="1" applyBorder="1" applyAlignment="1">
      <alignment horizontal="left" vertical="center" wrapText="1"/>
    </xf>
    <xf numFmtId="165" fontId="107" fillId="6" borderId="30" xfId="18" applyNumberFormat="1" applyFont="1" applyFill="1" applyBorder="1" applyAlignment="1">
      <alignment horizontal="center" vertical="center"/>
    </xf>
    <xf numFmtId="0" fontId="183" fillId="0" borderId="30" xfId="18" applyFont="1" applyFill="1" applyBorder="1" applyAlignment="1">
      <alignment horizontal="left" vertical="center" wrapText="1"/>
    </xf>
    <xf numFmtId="2" fontId="107" fillId="13" borderId="30" xfId="18" applyNumberFormat="1" applyFont="1" applyFill="1" applyBorder="1" applyAlignment="1">
      <alignment horizontal="center" vertical="center"/>
    </xf>
    <xf numFmtId="0" fontId="31" fillId="0" borderId="30" xfId="18" applyBorder="1" applyAlignment="1">
      <alignment horizontal="left" vertical="center"/>
    </xf>
    <xf numFmtId="0" fontId="31" fillId="7" borderId="33" xfId="18" applyFill="1" applyBorder="1" applyAlignment="1">
      <alignment horizontal="center" vertical="center"/>
    </xf>
    <xf numFmtId="0" fontId="120" fillId="8" borderId="111" xfId="18" applyFont="1" applyFill="1" applyBorder="1" applyAlignment="1">
      <alignment vertical="center" wrapText="1"/>
    </xf>
    <xf numFmtId="0" fontId="102" fillId="8" borderId="111" xfId="18" applyFont="1" applyFill="1" applyBorder="1" applyAlignment="1">
      <alignment vertical="center" wrapText="1"/>
    </xf>
    <xf numFmtId="0" fontId="97" fillId="8" borderId="111" xfId="18" applyFont="1" applyFill="1" applyBorder="1" applyAlignment="1">
      <alignment horizontal="center" vertical="center" textRotation="90" wrapText="1"/>
    </xf>
    <xf numFmtId="0" fontId="101" fillId="6" borderId="111" xfId="18" applyFont="1" applyFill="1" applyBorder="1" applyAlignment="1">
      <alignment horizontal="left" vertical="center" wrapText="1"/>
    </xf>
    <xf numFmtId="0" fontId="92" fillId="6" borderId="111" xfId="18" applyFont="1" applyFill="1" applyBorder="1" applyAlignment="1">
      <alignment horizontal="left" vertical="center" wrapText="1"/>
    </xf>
    <xf numFmtId="0" fontId="97" fillId="6" borderId="111" xfId="18" applyFont="1" applyFill="1" applyBorder="1" applyAlignment="1">
      <alignment horizontal="center" vertical="center" textRotation="90" wrapText="1"/>
    </xf>
    <xf numFmtId="0" fontId="101" fillId="13" borderId="111" xfId="18" applyFont="1" applyFill="1" applyBorder="1" applyAlignment="1">
      <alignment horizontal="left" vertical="center" wrapText="1"/>
    </xf>
    <xf numFmtId="0" fontId="97" fillId="13" borderId="112" xfId="18" applyFont="1" applyFill="1" applyBorder="1" applyAlignment="1">
      <alignment horizontal="center" vertical="center" textRotation="90" wrapText="1"/>
    </xf>
    <xf numFmtId="0" fontId="85" fillId="0" borderId="47" xfId="8" applyFont="1" applyFill="1" applyBorder="1" applyAlignment="1">
      <alignment horizontal="center" vertical="center" wrapText="1"/>
    </xf>
    <xf numFmtId="0" fontId="85" fillId="0" borderId="6" xfId="8" applyFont="1" applyFill="1" applyBorder="1" applyAlignment="1">
      <alignment horizontal="center" vertical="center" wrapText="1"/>
    </xf>
    <xf numFmtId="172" fontId="38" fillId="0" borderId="47" xfId="0" applyNumberFormat="1" applyFont="1" applyFill="1" applyBorder="1" applyAlignment="1" applyProtection="1">
      <alignment horizontal="left" vertical="center"/>
    </xf>
    <xf numFmtId="172" fontId="54" fillId="0" borderId="47" xfId="0" applyNumberFormat="1" applyFont="1" applyFill="1" applyBorder="1" applyAlignment="1" applyProtection="1">
      <alignment horizontal="left" vertical="center"/>
    </xf>
    <xf numFmtId="43" fontId="39" fillId="0" borderId="9" xfId="0" applyNumberFormat="1" applyFont="1" applyFill="1" applyBorder="1" applyAlignment="1" applyProtection="1">
      <alignment horizontal="left" vertical="center"/>
    </xf>
    <xf numFmtId="172" fontId="38" fillId="0" borderId="9" xfId="0" applyNumberFormat="1" applyFont="1" applyFill="1" applyBorder="1" applyAlignment="1" applyProtection="1">
      <alignment horizontal="left" vertical="center"/>
    </xf>
    <xf numFmtId="0" fontId="17" fillId="0" borderId="9" xfId="13" applyFont="1" applyFill="1" applyBorder="1" applyAlignment="1">
      <alignment vertical="center"/>
    </xf>
    <xf numFmtId="0" fontId="17" fillId="0" borderId="47" xfId="13" applyFont="1" applyFill="1" applyBorder="1" applyAlignment="1">
      <alignment horizontal="center" vertical="center"/>
    </xf>
    <xf numFmtId="0" fontId="38" fillId="0" borderId="47" xfId="20" applyNumberFormat="1" applyFont="1" applyFill="1" applyBorder="1" applyAlignment="1" applyProtection="1">
      <alignment horizontal="center" vertical="center"/>
    </xf>
    <xf numFmtId="0" fontId="85" fillId="3" borderId="36" xfId="8" applyFont="1" applyFill="1" applyBorder="1" applyAlignment="1">
      <alignment vertical="center" wrapText="1"/>
    </xf>
    <xf numFmtId="0" fontId="85" fillId="0" borderId="47" xfId="8" applyFont="1" applyFill="1" applyBorder="1" applyAlignment="1">
      <alignment horizontal="center" vertical="center" wrapText="1"/>
    </xf>
    <xf numFmtId="1" fontId="70" fillId="0" borderId="39" xfId="8" applyNumberFormat="1" applyFont="1" applyFill="1" applyBorder="1" applyAlignment="1">
      <alignment horizontal="center" vertical="center" wrapText="1"/>
    </xf>
    <xf numFmtId="0" fontId="35" fillId="0" borderId="9" xfId="13" applyBorder="1" applyAlignment="1">
      <alignment horizontal="center" vertical="center"/>
    </xf>
    <xf numFmtId="0" fontId="35" fillId="0" borderId="47" xfId="13" applyBorder="1" applyAlignment="1"/>
    <xf numFmtId="164" fontId="85" fillId="38" borderId="138" xfId="13" applyNumberFormat="1" applyFont="1" applyFill="1" applyBorder="1" applyAlignment="1">
      <alignment vertical="center"/>
    </xf>
    <xf numFmtId="0" fontId="85" fillId="16" borderId="11" xfId="8" applyFont="1" applyFill="1" applyBorder="1" applyAlignment="1">
      <alignment horizontal="center" vertical="center" wrapText="1"/>
    </xf>
    <xf numFmtId="0" fontId="85" fillId="16" borderId="10" xfId="20" applyNumberFormat="1" applyFont="1" applyFill="1" applyBorder="1" applyAlignment="1">
      <alignment horizontal="center" vertical="center"/>
    </xf>
    <xf numFmtId="169" fontId="70" fillId="16" borderId="104" xfId="20" applyNumberFormat="1" applyFont="1" applyFill="1" applyBorder="1" applyAlignment="1">
      <alignment vertical="center" wrapText="1"/>
    </xf>
    <xf numFmtId="0" fontId="35" fillId="16" borderId="0" xfId="13" applyFill="1" applyBorder="1"/>
    <xf numFmtId="0" fontId="85" fillId="16" borderId="50" xfId="8" applyFont="1" applyFill="1" applyBorder="1" applyAlignment="1">
      <alignment horizontal="center" vertical="center" wrapText="1"/>
    </xf>
    <xf numFmtId="164" fontId="85" fillId="16" borderId="138" xfId="13" applyNumberFormat="1" applyFont="1" applyFill="1" applyBorder="1" applyAlignment="1">
      <alignment vertical="center"/>
    </xf>
    <xf numFmtId="164" fontId="70" fillId="16" borderId="142" xfId="8" applyNumberFormat="1" applyFont="1" applyFill="1" applyBorder="1" applyAlignment="1">
      <alignment vertical="center" wrapText="1"/>
    </xf>
    <xf numFmtId="0" fontId="85" fillId="21" borderId="50" xfId="8" applyFont="1" applyFill="1" applyBorder="1" applyAlignment="1">
      <alignment horizontal="center" vertical="center" wrapText="1"/>
    </xf>
    <xf numFmtId="0" fontId="85" fillId="38" borderId="4" xfId="8" applyFont="1" applyFill="1" applyBorder="1" applyAlignment="1">
      <alignment horizontal="center" vertical="center" wrapText="1"/>
    </xf>
    <xf numFmtId="0" fontId="35" fillId="38" borderId="0" xfId="13" applyFill="1" applyBorder="1" applyAlignment="1"/>
    <xf numFmtId="0" fontId="35" fillId="38" borderId="46" xfId="13" applyFill="1" applyBorder="1" applyAlignment="1"/>
    <xf numFmtId="43" fontId="166" fillId="8" borderId="4" xfId="20" applyFont="1" applyFill="1" applyBorder="1" applyAlignment="1">
      <alignment vertical="center"/>
    </xf>
    <xf numFmtId="0" fontId="35" fillId="8" borderId="36" xfId="13" applyFill="1" applyBorder="1" applyAlignment="1"/>
    <xf numFmtId="0" fontId="35" fillId="8" borderId="0" xfId="13" applyFill="1" applyBorder="1" applyAlignment="1"/>
    <xf numFmtId="0" fontId="35" fillId="8" borderId="46" xfId="13" applyFill="1" applyBorder="1" applyAlignment="1"/>
    <xf numFmtId="43" fontId="104" fillId="8" borderId="8" xfId="20" applyFont="1" applyFill="1" applyBorder="1" applyAlignment="1">
      <alignment horizontal="center" vertical="center"/>
    </xf>
    <xf numFmtId="0" fontId="35" fillId="8" borderId="118" xfId="13" applyFill="1" applyBorder="1" applyAlignment="1"/>
    <xf numFmtId="0" fontId="85" fillId="40" borderId="6" xfId="8" applyFont="1" applyFill="1" applyBorder="1" applyAlignment="1">
      <alignment horizontal="center" vertical="center" wrapText="1"/>
    </xf>
    <xf numFmtId="164" fontId="85" fillId="40" borderId="9" xfId="13" applyNumberFormat="1" applyFont="1" applyFill="1" applyBorder="1" applyAlignment="1">
      <alignment vertical="center"/>
    </xf>
    <xf numFmtId="164" fontId="70" fillId="40" borderId="68" xfId="8" applyNumberFormat="1" applyFont="1" applyFill="1" applyBorder="1" applyAlignment="1">
      <alignment vertical="center" wrapText="1"/>
    </xf>
    <xf numFmtId="0" fontId="35" fillId="40" borderId="36" xfId="13" applyFill="1" applyBorder="1" applyAlignment="1"/>
    <xf numFmtId="0" fontId="35" fillId="40" borderId="0" xfId="13" applyFill="1" applyBorder="1" applyAlignment="1"/>
    <xf numFmtId="0" fontId="35" fillId="40" borderId="46" xfId="13" applyFill="1" applyBorder="1" applyAlignment="1"/>
    <xf numFmtId="43" fontId="104" fillId="40" borderId="47" xfId="20" applyFont="1" applyFill="1" applyBorder="1" applyAlignment="1">
      <alignment vertical="center"/>
    </xf>
    <xf numFmtId="0" fontId="35" fillId="40" borderId="118" xfId="13" applyFill="1" applyBorder="1" applyAlignment="1"/>
    <xf numFmtId="43" fontId="35" fillId="38" borderId="8" xfId="20" applyFont="1" applyFill="1" applyBorder="1" applyAlignment="1">
      <alignment horizontal="center" vertical="center"/>
    </xf>
    <xf numFmtId="43" fontId="35" fillId="38" borderId="8" xfId="20" applyFont="1" applyFill="1" applyBorder="1" applyAlignment="1">
      <alignment vertical="center"/>
    </xf>
    <xf numFmtId="0" fontId="35" fillId="38" borderId="118" xfId="13" applyFill="1" applyBorder="1" applyAlignment="1"/>
    <xf numFmtId="0" fontId="35" fillId="39" borderId="0" xfId="13" applyFill="1" applyBorder="1" applyAlignment="1"/>
    <xf numFmtId="43" fontId="35" fillId="40" borderId="47" xfId="20" applyFont="1" applyFill="1" applyBorder="1" applyAlignment="1">
      <alignment vertical="center"/>
    </xf>
    <xf numFmtId="0" fontId="85" fillId="40" borderId="9" xfId="8" applyFont="1" applyFill="1" applyBorder="1" applyAlignment="1">
      <alignment horizontal="center" vertical="center" wrapText="1"/>
    </xf>
    <xf numFmtId="164" fontId="85" fillId="40" borderId="47" xfId="13" applyNumberFormat="1" applyFont="1" applyFill="1" applyBorder="1" applyAlignment="1">
      <alignment vertical="center"/>
    </xf>
    <xf numFmtId="0" fontId="35" fillId="40" borderId="27" xfId="13" applyFill="1" applyBorder="1" applyAlignment="1"/>
    <xf numFmtId="3" fontId="104" fillId="39" borderId="8" xfId="20" applyNumberFormat="1" applyFont="1" applyFill="1" applyBorder="1" applyAlignment="1">
      <alignment horizontal="center" vertical="center"/>
    </xf>
    <xf numFmtId="0" fontId="35" fillId="39" borderId="27" xfId="13" applyFill="1" applyBorder="1" applyAlignment="1"/>
    <xf numFmtId="0" fontId="15" fillId="21" borderId="47" xfId="13" applyFont="1" applyFill="1" applyBorder="1"/>
    <xf numFmtId="0" fontId="35" fillId="21" borderId="47" xfId="13" applyFill="1" applyBorder="1"/>
    <xf numFmtId="0" fontId="35" fillId="38" borderId="47" xfId="13" applyFill="1" applyBorder="1" applyAlignment="1">
      <alignment vertical="center"/>
    </xf>
    <xf numFmtId="166" fontId="154" fillId="21" borderId="138" xfId="20" applyNumberFormat="1" applyFont="1" applyFill="1" applyBorder="1" applyAlignment="1">
      <alignment horizontal="center" vertical="center" textRotation="90" wrapText="1"/>
    </xf>
    <xf numFmtId="2" fontId="70" fillId="38" borderId="59" xfId="8" applyNumberFormat="1" applyFont="1" applyFill="1" applyBorder="1" applyAlignment="1">
      <alignment vertical="center" wrapText="1"/>
    </xf>
    <xf numFmtId="164" fontId="85" fillId="38" borderId="137" xfId="13" applyNumberFormat="1" applyFont="1" applyFill="1" applyBorder="1" applyAlignment="1">
      <alignment vertical="center"/>
    </xf>
    <xf numFmtId="164" fontId="70" fillId="38" borderId="117" xfId="8" applyNumberFormat="1" applyFont="1" applyFill="1" applyBorder="1" applyAlignment="1">
      <alignment vertical="center" wrapText="1"/>
    </xf>
    <xf numFmtId="0" fontId="35" fillId="8" borderId="47" xfId="13" applyFill="1" applyBorder="1" applyAlignment="1"/>
    <xf numFmtId="0" fontId="85" fillId="24" borderId="24" xfId="8" applyFont="1" applyFill="1" applyBorder="1" applyAlignment="1">
      <alignment horizontal="center" vertical="center" wrapText="1"/>
    </xf>
    <xf numFmtId="0" fontId="35" fillId="24" borderId="47" xfId="13" applyFill="1" applyBorder="1" applyAlignment="1"/>
    <xf numFmtId="0" fontId="24" fillId="24" borderId="118" xfId="13" applyFont="1" applyFill="1" applyBorder="1" applyAlignment="1">
      <alignment vertical="center" wrapText="1"/>
    </xf>
    <xf numFmtId="0" fontId="85" fillId="24" borderId="6" xfId="8" applyFont="1" applyFill="1" applyBorder="1" applyAlignment="1">
      <alignment horizontal="center" vertical="center" wrapText="1"/>
    </xf>
    <xf numFmtId="164" fontId="85" fillId="24" borderId="9" xfId="13" applyNumberFormat="1" applyFont="1" applyFill="1" applyBorder="1" applyAlignment="1">
      <alignment vertical="center"/>
    </xf>
    <xf numFmtId="164" fontId="70" fillId="24" borderId="39" xfId="8" applyNumberFormat="1" applyFont="1" applyFill="1" applyBorder="1" applyAlignment="1">
      <alignment vertical="center" wrapText="1"/>
    </xf>
    <xf numFmtId="43" fontId="104" fillId="24" borderId="9" xfId="20" applyFont="1" applyFill="1" applyBorder="1" applyAlignment="1">
      <alignment vertical="center"/>
    </xf>
    <xf numFmtId="43" fontId="104" fillId="24" borderId="47" xfId="20" applyFont="1" applyFill="1" applyBorder="1" applyAlignment="1">
      <alignment vertical="center"/>
    </xf>
    <xf numFmtId="0" fontId="35" fillId="38" borderId="47" xfId="13" applyFill="1" applyBorder="1" applyAlignment="1"/>
    <xf numFmtId="0" fontId="104" fillId="38" borderId="10" xfId="13" applyFont="1" applyFill="1" applyBorder="1" applyAlignment="1">
      <alignment horizontal="center" vertical="center"/>
    </xf>
    <xf numFmtId="0" fontId="104" fillId="38" borderId="8" xfId="13" applyFont="1" applyFill="1" applyBorder="1" applyAlignment="1">
      <alignment horizontal="center" vertical="center"/>
    </xf>
    <xf numFmtId="0" fontId="24" fillId="38" borderId="118" xfId="13" applyFont="1" applyFill="1" applyBorder="1" applyAlignment="1">
      <alignment vertical="center" wrapText="1"/>
    </xf>
    <xf numFmtId="0" fontId="86" fillId="21" borderId="33" xfId="10" applyFont="1" applyFill="1" applyBorder="1" applyAlignment="1">
      <alignment vertical="center" textRotation="90" wrapText="1"/>
    </xf>
    <xf numFmtId="0" fontId="86" fillId="21" borderId="111" xfId="10" applyFont="1" applyFill="1" applyBorder="1" applyAlignment="1">
      <alignment vertical="center" textRotation="90" wrapText="1"/>
    </xf>
    <xf numFmtId="0" fontId="86" fillId="21" borderId="112" xfId="10" applyFont="1" applyFill="1" applyBorder="1" applyAlignment="1">
      <alignment vertical="center" textRotation="90" wrapText="1"/>
    </xf>
    <xf numFmtId="0" fontId="86" fillId="21" borderId="34" xfId="10" applyFont="1" applyFill="1" applyBorder="1" applyAlignment="1">
      <alignment vertical="center" textRotation="90" wrapText="1"/>
    </xf>
    <xf numFmtId="167" fontId="86" fillId="21" borderId="20" xfId="10" applyNumberFormat="1" applyFont="1" applyFill="1" applyBorder="1" applyAlignment="1">
      <alignment vertical="center" textRotation="90" wrapText="1"/>
    </xf>
    <xf numFmtId="168" fontId="86" fillId="21" borderId="20" xfId="10" applyNumberFormat="1" applyFont="1" applyFill="1" applyBorder="1" applyAlignment="1">
      <alignment vertical="center" textRotation="90" wrapText="1"/>
    </xf>
    <xf numFmtId="168" fontId="86" fillId="21" borderId="35" xfId="10" applyNumberFormat="1" applyFont="1" applyFill="1" applyBorder="1" applyAlignment="1">
      <alignment vertical="center" textRotation="90" wrapText="1"/>
    </xf>
    <xf numFmtId="0" fontId="56" fillId="23" borderId="29" xfId="1" applyFont="1" applyFill="1" applyBorder="1" applyAlignment="1">
      <alignment horizontal="center" vertical="center" wrapText="1"/>
    </xf>
    <xf numFmtId="0" fontId="85" fillId="40" borderId="50" xfId="8" applyFont="1" applyFill="1" applyBorder="1" applyAlignment="1">
      <alignment horizontal="center" vertical="center" wrapText="1"/>
    </xf>
    <xf numFmtId="164" fontId="85" fillId="40" borderId="141" xfId="13" applyNumberFormat="1" applyFont="1" applyFill="1" applyBorder="1" applyAlignment="1">
      <alignment vertical="center"/>
    </xf>
    <xf numFmtId="43" fontId="166" fillId="40" borderId="138" xfId="20" applyFont="1" applyFill="1" applyBorder="1" applyAlignment="1">
      <alignment vertical="center"/>
    </xf>
    <xf numFmtId="2" fontId="70" fillId="0" borderId="47" xfId="8" applyNumberFormat="1" applyFont="1" applyFill="1" applyBorder="1" applyAlignment="1">
      <alignment vertical="center" wrapText="1"/>
    </xf>
    <xf numFmtId="0" fontId="35" fillId="0" borderId="47" xfId="13" applyFill="1" applyBorder="1" applyAlignment="1"/>
    <xf numFmtId="164" fontId="70" fillId="40" borderId="47" xfId="8" applyNumberFormat="1" applyFont="1" applyFill="1" applyBorder="1" applyAlignment="1">
      <alignment vertical="center" wrapText="1"/>
    </xf>
    <xf numFmtId="0" fontId="35" fillId="40" borderId="47" xfId="13" applyFill="1" applyBorder="1" applyAlignment="1"/>
    <xf numFmtId="0" fontId="15" fillId="0" borderId="9" xfId="13" applyFont="1" applyFill="1" applyBorder="1" applyAlignment="1">
      <alignment vertical="center"/>
    </xf>
    <xf numFmtId="164" fontId="85" fillId="3" borderId="47" xfId="13" applyNumberFormat="1" applyFont="1" applyFill="1" applyBorder="1" applyAlignment="1">
      <alignment vertical="center"/>
    </xf>
    <xf numFmtId="0" fontId="86" fillId="3" borderId="36" xfId="10" applyFont="1" applyFill="1" applyBorder="1" applyAlignment="1">
      <alignment vertical="center" textRotation="90" wrapText="1"/>
    </xf>
    <xf numFmtId="0" fontId="86" fillId="3" borderId="0" xfId="10" applyFont="1" applyFill="1" applyBorder="1" applyAlignment="1">
      <alignment vertical="center" textRotation="90" wrapText="1"/>
    </xf>
    <xf numFmtId="0" fontId="86" fillId="3" borderId="27" xfId="10" applyFont="1" applyFill="1" applyBorder="1" applyAlignment="1">
      <alignment vertical="center" textRotation="90" wrapText="1"/>
    </xf>
    <xf numFmtId="0" fontId="85" fillId="3" borderId="6" xfId="8" applyFont="1" applyFill="1" applyBorder="1" applyAlignment="1">
      <alignment horizontal="center" vertical="center" wrapText="1"/>
    </xf>
    <xf numFmtId="164" fontId="85" fillId="3" borderId="9" xfId="13" applyNumberFormat="1" applyFont="1" applyFill="1" applyBorder="1" applyAlignment="1">
      <alignment vertical="center"/>
    </xf>
    <xf numFmtId="164" fontId="70" fillId="3" borderId="68" xfId="8" applyNumberFormat="1" applyFont="1" applyFill="1" applyBorder="1" applyAlignment="1">
      <alignment vertical="center" wrapText="1"/>
    </xf>
    <xf numFmtId="0" fontId="17" fillId="3" borderId="9" xfId="13" applyFont="1" applyFill="1" applyBorder="1" applyAlignment="1">
      <alignment vertical="center"/>
    </xf>
    <xf numFmtId="0" fontId="35" fillId="3" borderId="47" xfId="13" applyFill="1" applyBorder="1" applyAlignment="1">
      <alignment horizontal="center" vertical="center"/>
    </xf>
    <xf numFmtId="0" fontId="24" fillId="3" borderId="47" xfId="13" applyFont="1" applyFill="1" applyBorder="1" applyAlignment="1">
      <alignment horizontal="center" vertical="center"/>
    </xf>
    <xf numFmtId="0" fontId="20" fillId="3" borderId="47" xfId="13" applyFont="1" applyFill="1" applyBorder="1" applyAlignment="1">
      <alignment horizontal="center" vertical="center"/>
    </xf>
    <xf numFmtId="0" fontId="35" fillId="3" borderId="0" xfId="13" applyFill="1" applyBorder="1"/>
    <xf numFmtId="43" fontId="35" fillId="3" borderId="0" xfId="20" applyFont="1" applyFill="1"/>
    <xf numFmtId="44" fontId="35" fillId="3" borderId="0" xfId="13" applyNumberFormat="1" applyFill="1"/>
    <xf numFmtId="43" fontId="35" fillId="3" borderId="0" xfId="13" applyNumberFormat="1" applyFill="1"/>
    <xf numFmtId="0" fontId="35" fillId="3" borderId="0" xfId="13" applyFill="1"/>
    <xf numFmtId="164" fontId="85" fillId="3" borderId="48" xfId="13" applyNumberFormat="1" applyFont="1" applyFill="1" applyBorder="1" applyAlignment="1">
      <alignment vertical="center"/>
    </xf>
    <xf numFmtId="0" fontId="19" fillId="3" borderId="9" xfId="13" applyFont="1" applyFill="1" applyBorder="1" applyAlignment="1">
      <alignment vertical="center"/>
    </xf>
    <xf numFmtId="0" fontId="23" fillId="3" borderId="9" xfId="13" applyFont="1" applyFill="1" applyBorder="1" applyAlignment="1">
      <alignment vertical="center"/>
    </xf>
    <xf numFmtId="0" fontId="21" fillId="3" borderId="9" xfId="13" applyFont="1" applyFill="1" applyBorder="1" applyAlignment="1">
      <alignment vertical="center"/>
    </xf>
    <xf numFmtId="0" fontId="21" fillId="3" borderId="47" xfId="13" applyFont="1" applyFill="1" applyBorder="1" applyAlignment="1">
      <alignment horizontal="center" vertical="center"/>
    </xf>
    <xf numFmtId="0" fontId="0" fillId="3" borderId="47" xfId="0" applyFill="1" applyBorder="1"/>
    <xf numFmtId="0" fontId="85" fillId="3" borderId="5" xfId="8" applyNumberFormat="1" applyFont="1" applyFill="1" applyBorder="1" applyAlignment="1">
      <alignment horizontal="justify" vertical="center" wrapText="1"/>
    </xf>
    <xf numFmtId="0" fontId="85" fillId="3" borderId="47" xfId="8" applyFont="1" applyFill="1" applyBorder="1" applyAlignment="1">
      <alignment vertical="center" wrapText="1"/>
    </xf>
    <xf numFmtId="0" fontId="23" fillId="3" borderId="47" xfId="13" applyFont="1" applyFill="1" applyBorder="1" applyAlignment="1">
      <alignment horizontal="center" vertical="center"/>
    </xf>
    <xf numFmtId="0" fontId="15" fillId="3" borderId="6" xfId="13" applyFont="1" applyFill="1" applyBorder="1" applyAlignment="1">
      <alignment horizontal="center" vertical="center" textRotation="90" wrapText="1"/>
    </xf>
    <xf numFmtId="0" fontId="17" fillId="3" borderId="47" xfId="13" applyFont="1" applyFill="1" applyBorder="1" applyAlignment="1">
      <alignment horizontal="center" vertical="center"/>
    </xf>
    <xf numFmtId="0" fontId="85" fillId="3" borderId="9" xfId="8" applyFont="1" applyFill="1" applyBorder="1" applyAlignment="1">
      <alignment vertical="center" wrapText="1"/>
    </xf>
    <xf numFmtId="0" fontId="85" fillId="3" borderId="48" xfId="8" applyFont="1" applyFill="1" applyBorder="1" applyAlignment="1">
      <alignment vertical="center" wrapText="1"/>
    </xf>
    <xf numFmtId="0" fontId="85" fillId="3" borderId="9" xfId="8" applyFont="1" applyFill="1" applyBorder="1" applyAlignment="1">
      <alignment horizontal="center" vertical="center" wrapText="1"/>
    </xf>
    <xf numFmtId="43" fontId="39" fillId="3" borderId="47" xfId="0" applyNumberFormat="1" applyFont="1" applyFill="1" applyBorder="1" applyAlignment="1" applyProtection="1">
      <alignment horizontal="left" vertical="center"/>
    </xf>
    <xf numFmtId="0" fontId="38" fillId="3" borderId="47" xfId="0" applyNumberFormat="1" applyFont="1" applyFill="1" applyBorder="1" applyAlignment="1" applyProtection="1">
      <alignment horizontal="center" vertical="center"/>
    </xf>
    <xf numFmtId="164" fontId="70" fillId="3" borderId="47" xfId="8" applyNumberFormat="1" applyFont="1" applyFill="1" applyBorder="1" applyAlignment="1">
      <alignment vertical="center" wrapText="1"/>
    </xf>
    <xf numFmtId="0" fontId="24" fillId="3" borderId="9" xfId="13" applyFont="1" applyFill="1" applyBorder="1" applyAlignment="1">
      <alignment vertical="center"/>
    </xf>
    <xf numFmtId="0" fontId="24" fillId="3" borderId="47" xfId="13" applyFont="1" applyFill="1" applyBorder="1" applyAlignment="1">
      <alignment vertical="center"/>
    </xf>
    <xf numFmtId="0" fontId="24" fillId="3" borderId="6" xfId="13" applyFont="1" applyFill="1" applyBorder="1" applyAlignment="1">
      <alignment horizontal="center" vertical="center"/>
    </xf>
    <xf numFmtId="0" fontId="85" fillId="3" borderId="137" xfId="8" applyFont="1" applyFill="1" applyBorder="1" applyAlignment="1">
      <alignment horizontal="center" vertical="center" wrapText="1"/>
    </xf>
    <xf numFmtId="172" fontId="39" fillId="3" borderId="47" xfId="0" applyNumberFormat="1" applyFont="1" applyFill="1" applyBorder="1" applyAlignment="1" applyProtection="1">
      <alignment horizontal="left" vertical="center"/>
    </xf>
    <xf numFmtId="43" fontId="38" fillId="3" borderId="47" xfId="0" applyNumberFormat="1" applyFont="1" applyFill="1" applyBorder="1" applyAlignment="1" applyProtection="1">
      <alignment horizontal="left" vertical="center"/>
    </xf>
    <xf numFmtId="172" fontId="46" fillId="3" borderId="47" xfId="0" applyNumberFormat="1" applyFont="1" applyFill="1" applyBorder="1" applyAlignment="1" applyProtection="1">
      <alignment horizontal="left" vertical="center"/>
    </xf>
    <xf numFmtId="172" fontId="54" fillId="3" borderId="47" xfId="0" applyNumberFormat="1" applyFont="1" applyFill="1" applyBorder="1" applyAlignment="1" applyProtection="1">
      <alignment horizontal="left" vertical="center"/>
    </xf>
    <xf numFmtId="164" fontId="70" fillId="3" borderId="147" xfId="8" applyNumberFormat="1" applyFont="1" applyFill="1" applyBorder="1" applyAlignment="1">
      <alignment vertical="center" wrapText="1"/>
    </xf>
    <xf numFmtId="0" fontId="18" fillId="3" borderId="47" xfId="13" applyFont="1" applyFill="1" applyBorder="1" applyAlignment="1">
      <alignment horizontal="center" vertical="center"/>
    </xf>
    <xf numFmtId="0" fontId="18" fillId="3" borderId="6" xfId="13" applyFont="1" applyFill="1" applyBorder="1" applyAlignment="1">
      <alignment horizontal="center" vertical="center"/>
    </xf>
    <xf numFmtId="0" fontId="38" fillId="3" borderId="47" xfId="20" applyNumberFormat="1" applyFont="1" applyFill="1" applyBorder="1" applyAlignment="1" applyProtection="1">
      <alignment horizontal="center" vertical="center"/>
    </xf>
    <xf numFmtId="0" fontId="14" fillId="3" borderId="9" xfId="13" applyFont="1" applyFill="1" applyBorder="1" applyAlignment="1">
      <alignment vertical="center"/>
    </xf>
    <xf numFmtId="0" fontId="18" fillId="3" borderId="47" xfId="13" applyFont="1" applyFill="1" applyBorder="1" applyAlignment="1">
      <alignment horizontal="center" vertical="center" wrapText="1"/>
    </xf>
    <xf numFmtId="2" fontId="70" fillId="24" borderId="47" xfId="8" applyNumberFormat="1" applyFont="1" applyFill="1" applyBorder="1" applyAlignment="1">
      <alignment vertical="center" wrapText="1"/>
    </xf>
    <xf numFmtId="0" fontId="85" fillId="40" borderId="51" xfId="8" applyFont="1" applyFill="1" applyBorder="1" applyAlignment="1">
      <alignment horizontal="center" vertical="center" wrapText="1"/>
    </xf>
    <xf numFmtId="0" fontId="0" fillId="24" borderId="47" xfId="0" applyFill="1" applyBorder="1" applyAlignment="1">
      <alignment horizontal="center" vertical="center"/>
    </xf>
    <xf numFmtId="0" fontId="85" fillId="24" borderId="13" xfId="8" applyFont="1" applyFill="1" applyBorder="1" applyAlignment="1">
      <alignment horizontal="center" vertical="center" wrapText="1"/>
    </xf>
    <xf numFmtId="2" fontId="70" fillId="8" borderId="143" xfId="8" applyNumberFormat="1" applyFont="1" applyFill="1" applyBorder="1" applyAlignment="1">
      <alignment vertical="center" wrapText="1"/>
    </xf>
    <xf numFmtId="0" fontId="104" fillId="24" borderId="47" xfId="0" applyFont="1" applyFill="1" applyBorder="1" applyAlignment="1">
      <alignment horizontal="center" vertical="center"/>
    </xf>
    <xf numFmtId="0" fontId="85" fillId="40" borderId="13" xfId="8" applyFont="1" applyFill="1" applyBorder="1" applyAlignment="1">
      <alignment horizontal="center" vertical="center" wrapText="1"/>
    </xf>
    <xf numFmtId="0" fontId="39" fillId="24" borderId="47" xfId="0" applyFont="1" applyFill="1" applyBorder="1" applyAlignment="1">
      <alignment horizontal="center" vertical="center"/>
    </xf>
    <xf numFmtId="2" fontId="70" fillId="24" borderId="143" xfId="8" applyNumberFormat="1" applyFont="1" applyFill="1" applyBorder="1" applyAlignment="1">
      <alignment horizontal="center" vertical="center" wrapText="1"/>
    </xf>
    <xf numFmtId="2" fontId="70" fillId="24" borderId="143" xfId="8" applyNumberFormat="1" applyFont="1" applyFill="1" applyBorder="1" applyAlignment="1">
      <alignment vertical="center" wrapText="1"/>
    </xf>
    <xf numFmtId="0" fontId="85" fillId="24" borderId="10" xfId="8" applyFont="1" applyFill="1" applyBorder="1" applyAlignment="1">
      <alignment horizontal="center" vertical="center" wrapText="1"/>
    </xf>
    <xf numFmtId="2" fontId="70" fillId="3" borderId="39" xfId="8" applyNumberFormat="1" applyFont="1" applyFill="1" applyBorder="1" applyAlignment="1">
      <alignment vertical="center" wrapText="1"/>
    </xf>
    <xf numFmtId="0" fontId="19" fillId="0" borderId="141" xfId="13" applyFont="1" applyFill="1" applyBorder="1" applyAlignment="1">
      <alignment horizontal="left" vertical="center"/>
    </xf>
    <xf numFmtId="0" fontId="35" fillId="0" borderId="138" xfId="13" applyFill="1" applyBorder="1" applyAlignment="1">
      <alignment horizontal="center" vertical="center"/>
    </xf>
    <xf numFmtId="0" fontId="21" fillId="0" borderId="138" xfId="13" applyFont="1" applyFill="1" applyBorder="1" applyAlignment="1">
      <alignment horizontal="center" vertical="center"/>
    </xf>
    <xf numFmtId="0" fontId="24" fillId="0" borderId="138" xfId="13" applyFont="1" applyFill="1" applyBorder="1" applyAlignment="1">
      <alignment horizontal="justify" vertical="center" wrapText="1"/>
    </xf>
    <xf numFmtId="0" fontId="24" fillId="0" borderId="138" xfId="13" applyFont="1" applyFill="1" applyBorder="1" applyAlignment="1">
      <alignment horizontal="center" vertical="center"/>
    </xf>
    <xf numFmtId="0" fontId="20" fillId="0" borderId="138" xfId="13" applyFont="1" applyFill="1" applyBorder="1" applyAlignment="1">
      <alignment horizontal="center" vertical="center"/>
    </xf>
    <xf numFmtId="44" fontId="35" fillId="0" borderId="138" xfId="13" applyNumberFormat="1" applyFill="1" applyBorder="1" applyAlignment="1">
      <alignment horizontal="center" vertical="center"/>
    </xf>
    <xf numFmtId="43" fontId="35" fillId="0" borderId="138" xfId="13" applyNumberFormat="1" applyFill="1" applyBorder="1" applyAlignment="1">
      <alignment horizontal="center" vertical="center"/>
    </xf>
    <xf numFmtId="0" fontId="21" fillId="0" borderId="50" xfId="13" applyFont="1" applyFill="1" applyBorder="1" applyAlignment="1">
      <alignment horizontal="center" vertical="center" wrapText="1"/>
    </xf>
    <xf numFmtId="0" fontId="14" fillId="3" borderId="10" xfId="13" applyFont="1" applyFill="1" applyBorder="1" applyAlignment="1">
      <alignment horizontal="center" vertical="center"/>
    </xf>
    <xf numFmtId="0" fontId="35" fillId="3" borderId="8" xfId="13" applyFill="1" applyBorder="1" applyAlignment="1">
      <alignment horizontal="center" vertical="center"/>
    </xf>
    <xf numFmtId="0" fontId="24" fillId="3" borderId="8" xfId="13" applyFont="1" applyFill="1" applyBorder="1" applyAlignment="1">
      <alignment horizontal="center" vertical="center"/>
    </xf>
    <xf numFmtId="0" fontId="24" fillId="3" borderId="8" xfId="13" applyFont="1" applyFill="1" applyBorder="1" applyAlignment="1">
      <alignment horizontal="center" vertical="center" wrapText="1"/>
    </xf>
    <xf numFmtId="0" fontId="20" fillId="3" borderId="8" xfId="13" applyFont="1" applyFill="1" applyBorder="1" applyAlignment="1">
      <alignment horizontal="center" vertical="center"/>
    </xf>
    <xf numFmtId="44" fontId="35" fillId="0" borderId="8" xfId="13" applyNumberFormat="1" applyFill="1" applyBorder="1" applyAlignment="1">
      <alignment horizontal="center" vertical="center"/>
    </xf>
    <xf numFmtId="43" fontId="35" fillId="0" borderId="8" xfId="13" applyNumberFormat="1" applyFill="1" applyBorder="1" applyAlignment="1">
      <alignment horizontal="center" vertical="center"/>
    </xf>
    <xf numFmtId="0" fontId="24" fillId="3" borderId="11" xfId="13" applyFont="1" applyFill="1" applyBorder="1" applyAlignment="1">
      <alignment horizontal="center" vertical="center" wrapText="1"/>
    </xf>
    <xf numFmtId="0" fontId="35" fillId="3" borderId="47" xfId="13" applyFill="1" applyBorder="1" applyAlignment="1"/>
    <xf numFmtId="0" fontId="35" fillId="3" borderId="47" xfId="13" applyFill="1" applyBorder="1"/>
    <xf numFmtId="0" fontId="13" fillId="0" borderId="47" xfId="13" applyFont="1" applyFill="1" applyBorder="1" applyAlignment="1">
      <alignment horizontal="center" vertical="center" wrapText="1"/>
    </xf>
    <xf numFmtId="0" fontId="20" fillId="0" borderId="47" xfId="13" applyFont="1" applyFill="1" applyBorder="1" applyAlignment="1">
      <alignment horizontal="center" vertical="center" wrapText="1"/>
    </xf>
    <xf numFmtId="0" fontId="85" fillId="21" borderId="51" xfId="8" applyFont="1" applyFill="1" applyBorder="1" applyAlignment="1">
      <alignment horizontal="center" vertical="center" wrapText="1"/>
    </xf>
    <xf numFmtId="0" fontId="86" fillId="12" borderId="141" xfId="13" applyFont="1" applyFill="1" applyBorder="1" applyAlignment="1">
      <alignment horizontal="center" vertical="center"/>
    </xf>
    <xf numFmtId="0" fontId="86" fillId="12" borderId="138" xfId="13" applyFont="1" applyFill="1" applyBorder="1" applyAlignment="1">
      <alignment horizontal="center" vertical="center"/>
    </xf>
    <xf numFmtId="0" fontId="86" fillId="12" borderId="137" xfId="13" applyFont="1" applyFill="1" applyBorder="1" applyAlignment="1">
      <alignment horizontal="center" vertical="center" wrapText="1"/>
    </xf>
    <xf numFmtId="0" fontId="0" fillId="21" borderId="47" xfId="0" applyFill="1" applyBorder="1"/>
    <xf numFmtId="2" fontId="70" fillId="21" borderId="47" xfId="8" applyNumberFormat="1" applyFont="1" applyFill="1" applyBorder="1" applyAlignment="1">
      <alignment vertical="center" wrapText="1"/>
    </xf>
    <xf numFmtId="44" fontId="85" fillId="3" borderId="47" xfId="20" applyNumberFormat="1" applyFont="1" applyFill="1" applyBorder="1" applyAlignment="1">
      <alignment vertical="center"/>
    </xf>
    <xf numFmtId="0" fontId="14" fillId="0" borderId="9" xfId="13" applyFont="1" applyFill="1" applyBorder="1" applyAlignment="1">
      <alignment horizontal="left" vertical="center" wrapText="1"/>
    </xf>
    <xf numFmtId="43" fontId="70" fillId="0" borderId="68" xfId="20" applyFont="1" applyFill="1" applyBorder="1" applyAlignment="1">
      <alignment horizontal="center" vertical="center" wrapText="1"/>
    </xf>
    <xf numFmtId="0" fontId="86" fillId="0" borderId="36" xfId="10" applyFont="1" applyFill="1" applyBorder="1" applyAlignment="1">
      <alignment horizontal="center" vertical="center" textRotation="90" wrapText="1"/>
    </xf>
    <xf numFmtId="0" fontId="86" fillId="0" borderId="0" xfId="10" applyFont="1" applyFill="1" applyBorder="1" applyAlignment="1">
      <alignment horizontal="center" vertical="center" textRotation="90" wrapText="1"/>
    </xf>
    <xf numFmtId="0" fontId="86" fillId="0" borderId="27" xfId="10" applyFont="1" applyFill="1" applyBorder="1" applyAlignment="1">
      <alignment horizontal="center" vertical="center" textRotation="90" wrapText="1"/>
    </xf>
    <xf numFmtId="0" fontId="85" fillId="0" borderId="36" xfId="8" applyFont="1" applyFill="1" applyBorder="1" applyAlignment="1">
      <alignment horizontal="center" vertical="center" wrapText="1"/>
    </xf>
    <xf numFmtId="44" fontId="35" fillId="0" borderId="0" xfId="13" applyNumberFormat="1" applyAlignment="1">
      <alignment horizontal="center" vertical="center"/>
    </xf>
    <xf numFmtId="43" fontId="35" fillId="0" borderId="0" xfId="13" applyNumberFormat="1" applyAlignment="1">
      <alignment horizontal="center" vertical="center"/>
    </xf>
    <xf numFmtId="0" fontId="35" fillId="0" borderId="0" xfId="13" applyAlignment="1">
      <alignment horizontal="center" vertical="center"/>
    </xf>
    <xf numFmtId="0" fontId="85" fillId="3" borderId="47" xfId="8" applyFont="1" applyFill="1" applyBorder="1" applyAlignment="1">
      <alignment horizontal="center" vertical="center" wrapText="1"/>
    </xf>
    <xf numFmtId="0" fontId="85" fillId="3" borderId="138" xfId="8" applyFont="1" applyFill="1" applyBorder="1" applyAlignment="1">
      <alignment horizontal="center" vertical="center" wrapText="1"/>
    </xf>
    <xf numFmtId="0" fontId="23" fillId="3" borderId="50" xfId="13" applyFont="1" applyFill="1" applyBorder="1" applyAlignment="1">
      <alignment horizontal="center" vertical="center" textRotation="90" wrapText="1"/>
    </xf>
    <xf numFmtId="0" fontId="85" fillId="0" borderId="47" xfId="8" applyFont="1" applyFill="1" applyBorder="1" applyAlignment="1">
      <alignment horizontal="center" vertical="center" wrapText="1"/>
    </xf>
    <xf numFmtId="0" fontId="85" fillId="3" borderId="47" xfId="8" applyFont="1" applyFill="1" applyBorder="1" applyAlignment="1">
      <alignment horizontal="center" vertical="center" wrapText="1"/>
    </xf>
    <xf numFmtId="43" fontId="208" fillId="3" borderId="47" xfId="0" applyNumberFormat="1" applyFont="1" applyFill="1" applyBorder="1" applyAlignment="1" applyProtection="1">
      <alignment horizontal="left" vertical="center"/>
    </xf>
    <xf numFmtId="0" fontId="11" fillId="3" borderId="9" xfId="13" applyFont="1" applyFill="1" applyBorder="1" applyAlignment="1">
      <alignment vertical="center"/>
    </xf>
    <xf numFmtId="44" fontId="35" fillId="3" borderId="47" xfId="13" applyNumberFormat="1" applyFill="1" applyBorder="1" applyAlignment="1">
      <alignment horizontal="center" vertical="center"/>
    </xf>
    <xf numFmtId="43" fontId="21" fillId="3" borderId="47" xfId="13" applyNumberFormat="1" applyFont="1" applyFill="1" applyBorder="1" applyAlignment="1">
      <alignment horizontal="center" vertical="center"/>
    </xf>
    <xf numFmtId="43" fontId="35" fillId="3" borderId="47" xfId="13" applyNumberFormat="1" applyFill="1" applyBorder="1" applyAlignment="1">
      <alignment horizontal="center" vertical="center"/>
    </xf>
    <xf numFmtId="43" fontId="91" fillId="3" borderId="47" xfId="0" applyNumberFormat="1" applyFont="1" applyFill="1" applyBorder="1" applyAlignment="1" applyProtection="1">
      <alignment horizontal="left" vertical="center"/>
    </xf>
    <xf numFmtId="43" fontId="38" fillId="3" borderId="47" xfId="0" applyNumberFormat="1" applyFont="1" applyFill="1" applyBorder="1" applyAlignment="1" applyProtection="1">
      <alignment horizontal="center" vertical="center"/>
    </xf>
    <xf numFmtId="43" fontId="35" fillId="3" borderId="0" xfId="20" applyFont="1" applyFill="1" applyAlignment="1">
      <alignment horizontal="center" vertical="center"/>
    </xf>
    <xf numFmtId="43" fontId="35" fillId="3" borderId="47" xfId="20" applyFont="1" applyFill="1" applyBorder="1" applyAlignment="1">
      <alignment horizontal="center" vertical="center"/>
    </xf>
    <xf numFmtId="0" fontId="35" fillId="3" borderId="0" xfId="13" applyFill="1" applyAlignment="1">
      <alignment horizontal="center" vertical="center"/>
    </xf>
    <xf numFmtId="43" fontId="39" fillId="3" borderId="47" xfId="0" applyNumberFormat="1" applyFont="1" applyFill="1" applyBorder="1" applyAlignment="1" applyProtection="1">
      <alignment horizontal="center" vertical="center"/>
    </xf>
    <xf numFmtId="164" fontId="70" fillId="3" borderId="147" xfId="8" applyNumberFormat="1" applyFont="1" applyFill="1" applyBorder="1" applyAlignment="1">
      <alignment horizontal="center" vertical="center" wrapText="1"/>
    </xf>
    <xf numFmtId="0" fontId="13" fillId="3" borderId="47" xfId="13" applyFont="1" applyFill="1" applyBorder="1" applyAlignment="1">
      <alignment horizontal="center" vertical="center"/>
    </xf>
    <xf numFmtId="0" fontId="38" fillId="3" borderId="47" xfId="0" applyFont="1" applyFill="1" applyBorder="1" applyAlignment="1">
      <alignment vertical="center" wrapText="1"/>
    </xf>
    <xf numFmtId="0" fontId="0" fillId="3" borderId="0" xfId="0" applyFill="1" applyAlignment="1">
      <alignment horizontal="center" vertical="center"/>
    </xf>
    <xf numFmtId="0" fontId="11" fillId="3" borderId="9" xfId="13" applyFont="1" applyFill="1" applyBorder="1" applyAlignment="1">
      <alignment vertical="center" wrapText="1"/>
    </xf>
    <xf numFmtId="43" fontId="207" fillId="3" borderId="47" xfId="0" applyNumberFormat="1" applyFont="1" applyFill="1" applyBorder="1" applyAlignment="1" applyProtection="1">
      <alignment horizontal="center" vertical="center"/>
    </xf>
    <xf numFmtId="0" fontId="12" fillId="3" borderId="47" xfId="13" applyFont="1" applyFill="1" applyBorder="1" applyAlignment="1">
      <alignment horizontal="center" vertical="center"/>
    </xf>
    <xf numFmtId="4" fontId="0" fillId="3" borderId="47" xfId="0" applyNumberFormat="1" applyFill="1" applyBorder="1" applyAlignment="1">
      <alignment vertical="center" wrapText="1"/>
    </xf>
    <xf numFmtId="4" fontId="167" fillId="3" borderId="47" xfId="13" applyNumberFormat="1" applyFont="1" applyFill="1" applyBorder="1" applyAlignment="1">
      <alignment horizontal="center" vertical="center"/>
    </xf>
    <xf numFmtId="172" fontId="38" fillId="3" borderId="47" xfId="0" applyNumberFormat="1" applyFont="1" applyFill="1" applyBorder="1" applyAlignment="1" applyProtection="1">
      <alignment horizontal="left" vertical="center"/>
    </xf>
    <xf numFmtId="0" fontId="10" fillId="3" borderId="9" xfId="13" applyFont="1" applyFill="1" applyBorder="1" applyAlignment="1">
      <alignment vertical="center" wrapText="1"/>
    </xf>
    <xf numFmtId="0" fontId="5" fillId="3" borderId="9" xfId="13" applyFont="1" applyFill="1" applyBorder="1" applyAlignment="1">
      <alignment vertical="center" wrapText="1"/>
    </xf>
    <xf numFmtId="0" fontId="18" fillId="3" borderId="47" xfId="13" applyFont="1" applyFill="1" applyBorder="1" applyAlignment="1">
      <alignment horizontal="center" vertical="center"/>
    </xf>
    <xf numFmtId="0" fontId="16" fillId="3" borderId="0" xfId="13" applyFont="1" applyFill="1"/>
    <xf numFmtId="43" fontId="85" fillId="3" borderId="47" xfId="20" applyFont="1" applyFill="1" applyBorder="1" applyAlignment="1">
      <alignment vertical="center"/>
    </xf>
    <xf numFmtId="0" fontId="9" fillId="3" borderId="9" xfId="13" applyFont="1" applyFill="1" applyBorder="1" applyAlignment="1">
      <alignment vertical="center" wrapText="1"/>
    </xf>
    <xf numFmtId="0" fontId="22" fillId="3" borderId="47" xfId="13" applyFont="1" applyFill="1" applyBorder="1" applyAlignment="1">
      <alignment horizontal="center" vertical="center"/>
    </xf>
    <xf numFmtId="43" fontId="35" fillId="3" borderId="0" xfId="20" applyFont="1" applyFill="1" applyAlignment="1">
      <alignment vertical="center"/>
    </xf>
    <xf numFmtId="0" fontId="35" fillId="3" borderId="0" xfId="13" applyFill="1" applyAlignment="1">
      <alignment vertical="center"/>
    </xf>
    <xf numFmtId="0" fontId="9" fillId="3" borderId="9" xfId="13" applyFont="1" applyFill="1" applyBorder="1" applyAlignment="1">
      <alignment vertical="center"/>
    </xf>
    <xf numFmtId="44" fontId="35" fillId="3" borderId="0" xfId="13" applyNumberFormat="1" applyFill="1" applyAlignment="1">
      <alignment vertical="center"/>
    </xf>
    <xf numFmtId="43" fontId="35" fillId="3" borderId="0" xfId="13" applyNumberFormat="1" applyFill="1" applyAlignment="1">
      <alignment vertical="center"/>
    </xf>
    <xf numFmtId="0" fontId="22" fillId="3" borderId="9" xfId="13" applyFont="1" applyFill="1" applyBorder="1" applyAlignment="1">
      <alignment vertical="center"/>
    </xf>
    <xf numFmtId="0" fontId="22" fillId="3" borderId="9" xfId="13" applyFont="1" applyFill="1" applyBorder="1" applyAlignment="1">
      <alignment vertical="center" wrapText="1"/>
    </xf>
    <xf numFmtId="0" fontId="14" fillId="3" borderId="5" xfId="13" applyFont="1" applyFill="1" applyBorder="1" applyAlignment="1">
      <alignment vertical="center" wrapText="1"/>
    </xf>
    <xf numFmtId="43" fontId="17" fillId="3" borderId="0" xfId="20" applyFont="1" applyFill="1"/>
    <xf numFmtId="164" fontId="204" fillId="3" borderId="47" xfId="13" applyNumberFormat="1" applyFont="1" applyFill="1" applyBorder="1" applyAlignment="1">
      <alignment vertical="center"/>
    </xf>
    <xf numFmtId="0" fontId="17" fillId="3" borderId="5" xfId="13" applyFont="1" applyFill="1" applyBorder="1" applyAlignment="1">
      <alignment vertical="center" wrapText="1"/>
    </xf>
    <xf numFmtId="0" fontId="85" fillId="3" borderId="5" xfId="8" applyFont="1" applyFill="1" applyBorder="1" applyAlignment="1">
      <alignment horizontal="center" vertical="center" wrapText="1"/>
    </xf>
    <xf numFmtId="172" fontId="38" fillId="3" borderId="9" xfId="0" applyNumberFormat="1" applyFont="1" applyFill="1" applyBorder="1" applyAlignment="1" applyProtection="1">
      <alignment horizontal="left" vertical="center"/>
    </xf>
    <xf numFmtId="0" fontId="6" fillId="3" borderId="9" xfId="13" applyFont="1" applyFill="1" applyBorder="1" applyAlignment="1">
      <alignment vertical="center" wrapText="1"/>
    </xf>
    <xf numFmtId="0" fontId="15" fillId="3" borderId="47" xfId="13" applyFont="1" applyFill="1" applyBorder="1" applyAlignment="1">
      <alignment horizontal="center" vertical="center"/>
    </xf>
    <xf numFmtId="0" fontId="15" fillId="3" borderId="6" xfId="13" applyFont="1" applyFill="1" applyBorder="1" applyAlignment="1">
      <alignment horizontal="center" vertical="center"/>
    </xf>
    <xf numFmtId="0" fontId="24" fillId="3" borderId="9" xfId="13" applyFont="1" applyFill="1" applyBorder="1" applyAlignment="1">
      <alignment horizontal="center" vertical="center"/>
    </xf>
    <xf numFmtId="0" fontId="24" fillId="3" borderId="47" xfId="13" applyFont="1" applyFill="1" applyBorder="1" applyAlignment="1">
      <alignment horizontal="justify" vertical="center" wrapText="1"/>
    </xf>
    <xf numFmtId="0" fontId="14" fillId="3" borderId="9" xfId="13" applyFont="1" applyFill="1" applyBorder="1" applyAlignment="1">
      <alignment horizontal="center" vertical="center"/>
    </xf>
    <xf numFmtId="0" fontId="24" fillId="3" borderId="6" xfId="13" applyFont="1" applyFill="1" applyBorder="1" applyAlignment="1">
      <alignment horizontal="center" vertical="center" wrapText="1"/>
    </xf>
    <xf numFmtId="44" fontId="85" fillId="3" borderId="48" xfId="20" applyNumberFormat="1" applyFont="1" applyFill="1" applyBorder="1" applyAlignment="1">
      <alignment vertical="center"/>
    </xf>
    <xf numFmtId="0" fontId="8" fillId="3" borderId="9" xfId="13" applyFont="1" applyFill="1" applyBorder="1" applyAlignment="1">
      <alignment vertical="center"/>
    </xf>
    <xf numFmtId="0" fontId="0" fillId="3" borderId="47" xfId="0" applyFill="1" applyBorder="1" applyAlignment="1">
      <alignment horizontal="center" vertical="center"/>
    </xf>
    <xf numFmtId="0" fontId="8" fillId="3" borderId="9" xfId="13" applyFont="1" applyFill="1" applyBorder="1" applyAlignment="1">
      <alignment vertical="center" wrapText="1"/>
    </xf>
    <xf numFmtId="0" fontId="22" fillId="3" borderId="27" xfId="13" applyFont="1" applyFill="1" applyBorder="1" applyAlignment="1">
      <alignment horizontal="center" vertical="center" textRotation="90" wrapText="1"/>
    </xf>
    <xf numFmtId="0" fontId="85" fillId="3" borderId="48" xfId="8" applyFont="1" applyFill="1" applyBorder="1" applyAlignment="1">
      <alignment horizontal="center" vertical="center" wrapText="1"/>
    </xf>
    <xf numFmtId="1" fontId="70" fillId="3" borderId="68" xfId="8" applyNumberFormat="1" applyFont="1" applyFill="1" applyBorder="1" applyAlignment="1">
      <alignment horizontal="center" vertical="center" wrapText="1"/>
    </xf>
    <xf numFmtId="0" fontId="35" fillId="3" borderId="9" xfId="13" applyFill="1" applyBorder="1"/>
    <xf numFmtId="0" fontId="35" fillId="3" borderId="47" xfId="13" applyFill="1" applyBorder="1" applyAlignment="1">
      <alignment horizontal="center"/>
    </xf>
    <xf numFmtId="0" fontId="4" fillId="3" borderId="9" xfId="13" applyFont="1" applyFill="1" applyBorder="1" applyAlignment="1">
      <alignment horizontal="left" vertical="center" wrapText="1"/>
    </xf>
    <xf numFmtId="0" fontId="85" fillId="3" borderId="6" xfId="8" applyFont="1" applyFill="1" applyBorder="1" applyAlignment="1">
      <alignment horizontal="center" vertical="center" wrapText="1"/>
    </xf>
    <xf numFmtId="0" fontId="19" fillId="3" borderId="9" xfId="13" applyFont="1" applyFill="1" applyBorder="1" applyAlignment="1">
      <alignment vertical="center" wrapText="1"/>
    </xf>
    <xf numFmtId="0" fontId="0" fillId="3" borderId="0" xfId="0" applyFill="1"/>
    <xf numFmtId="0" fontId="88" fillId="3" borderId="5" xfId="8" applyFont="1" applyFill="1" applyBorder="1" applyAlignment="1">
      <alignment vertical="center" wrapText="1"/>
    </xf>
    <xf numFmtId="164" fontId="77" fillId="3" borderId="9" xfId="13" applyNumberFormat="1" applyFont="1" applyFill="1" applyBorder="1" applyAlignment="1">
      <alignment vertical="center"/>
    </xf>
    <xf numFmtId="0" fontId="24" fillId="3" borderId="47" xfId="13" applyFont="1" applyFill="1" applyBorder="1" applyAlignment="1">
      <alignment horizontal="center" vertical="center" wrapText="1"/>
    </xf>
    <xf numFmtId="0" fontId="85" fillId="3" borderId="5" xfId="8" applyFont="1" applyFill="1" applyBorder="1" applyAlignment="1">
      <alignment horizontal="justify" vertical="center" wrapText="1"/>
    </xf>
    <xf numFmtId="0" fontId="21" fillId="3" borderId="6" xfId="13" applyFont="1" applyFill="1" applyBorder="1" applyAlignment="1">
      <alignment vertical="center" textRotation="90" wrapText="1"/>
    </xf>
    <xf numFmtId="0" fontId="54" fillId="3" borderId="47" xfId="0" applyNumberFormat="1" applyFont="1" applyFill="1" applyBorder="1" applyAlignment="1" applyProtection="1">
      <alignment horizontal="center" vertical="center"/>
    </xf>
    <xf numFmtId="43" fontId="42" fillId="3" borderId="47" xfId="0" applyNumberFormat="1" applyFont="1" applyFill="1" applyBorder="1" applyAlignment="1" applyProtection="1">
      <alignment horizontal="left" vertical="center"/>
    </xf>
    <xf numFmtId="0" fontId="205" fillId="3" borderId="68" xfId="8" applyNumberFormat="1" applyFont="1" applyFill="1" applyBorder="1" applyAlignment="1">
      <alignment horizontal="center" vertical="center" wrapText="1"/>
    </xf>
    <xf numFmtId="0" fontId="7" fillId="3" borderId="9" xfId="13" applyFont="1" applyFill="1" applyBorder="1" applyAlignment="1">
      <alignment vertical="center"/>
    </xf>
    <xf numFmtId="0" fontId="85" fillId="3" borderId="5" xfId="8" applyFont="1" applyFill="1" applyBorder="1" applyAlignment="1">
      <alignment vertical="center" wrapText="1"/>
    </xf>
    <xf numFmtId="0" fontId="21" fillId="3" borderId="9" xfId="13" applyFont="1" applyFill="1" applyBorder="1" applyAlignment="1">
      <alignment horizontal="left" vertical="center" wrapText="1"/>
    </xf>
    <xf numFmtId="0" fontId="18" fillId="3" borderId="50" xfId="13" applyFont="1" applyFill="1" applyBorder="1" applyAlignment="1">
      <alignment vertical="center"/>
    </xf>
    <xf numFmtId="172" fontId="206" fillId="3" borderId="47" xfId="0" applyNumberFormat="1" applyFont="1" applyFill="1" applyBorder="1" applyAlignment="1" applyProtection="1">
      <alignment horizontal="left" vertical="center"/>
    </xf>
    <xf numFmtId="0" fontId="18" fillId="3" borderId="11" xfId="13" applyFont="1" applyFill="1" applyBorder="1" applyAlignment="1">
      <alignment horizontal="center" vertical="center"/>
    </xf>
    <xf numFmtId="0" fontId="4" fillId="0" borderId="47" xfId="13" applyFont="1" applyFill="1" applyBorder="1" applyAlignment="1">
      <alignment horizontal="center" vertical="center"/>
    </xf>
    <xf numFmtId="0" fontId="4" fillId="3" borderId="47" xfId="13" applyFont="1" applyFill="1" applyBorder="1" applyAlignment="1">
      <alignment horizontal="center" vertical="center"/>
    </xf>
    <xf numFmtId="0" fontId="4" fillId="0" borderId="47" xfId="13" applyFont="1" applyFill="1" applyBorder="1" applyAlignment="1">
      <alignment horizontal="center" vertical="center" wrapText="1"/>
    </xf>
    <xf numFmtId="0" fontId="4" fillId="3" borderId="6" xfId="13" applyFont="1" applyFill="1" applyBorder="1" applyAlignment="1">
      <alignment horizontal="center" vertical="center"/>
    </xf>
    <xf numFmtId="0" fontId="85" fillId="3" borderId="6" xfId="8" applyFont="1" applyFill="1" applyBorder="1" applyAlignment="1">
      <alignment horizontal="center" vertical="center" wrapText="1"/>
    </xf>
    <xf numFmtId="0" fontId="85" fillId="3" borderId="8" xfId="8" applyFont="1" applyFill="1" applyBorder="1" applyAlignment="1">
      <alignment horizontal="center" vertical="center" wrapText="1"/>
    </xf>
    <xf numFmtId="0" fontId="85" fillId="3" borderId="12" xfId="8" applyFont="1" applyFill="1" applyBorder="1" applyAlignment="1">
      <alignment horizontal="left" vertical="center" wrapText="1"/>
    </xf>
    <xf numFmtId="0" fontId="23" fillId="3" borderId="11" xfId="13" applyFont="1" applyFill="1" applyBorder="1" applyAlignment="1">
      <alignment horizontal="center" vertical="center" textRotation="90" wrapText="1"/>
    </xf>
    <xf numFmtId="0" fontId="18" fillId="3" borderId="47" xfId="13" applyFont="1" applyFill="1" applyBorder="1" applyAlignment="1">
      <alignment horizontal="center" vertical="center"/>
    </xf>
    <xf numFmtId="0" fontId="209" fillId="3" borderId="9" xfId="13" applyFont="1" applyFill="1" applyBorder="1" applyAlignment="1">
      <alignment horizontal="center" vertical="center"/>
    </xf>
    <xf numFmtId="0" fontId="0" fillId="0" borderId="47" xfId="0" applyBorder="1"/>
    <xf numFmtId="0" fontId="35" fillId="0" borderId="47" xfId="13" applyBorder="1"/>
    <xf numFmtId="43" fontId="0" fillId="0" borderId="47" xfId="0" applyNumberFormat="1" applyBorder="1" applyAlignment="1">
      <alignment horizontal="center" vertical="center"/>
    </xf>
    <xf numFmtId="0" fontId="3" fillId="3" borderId="9" xfId="13" applyFont="1" applyFill="1" applyBorder="1" applyAlignment="1">
      <alignment vertical="center"/>
    </xf>
    <xf numFmtId="0" fontId="3" fillId="3" borderId="47" xfId="13" applyFont="1" applyFill="1" applyBorder="1" applyAlignment="1">
      <alignment vertical="center" wrapText="1"/>
    </xf>
    <xf numFmtId="0" fontId="3" fillId="3" borderId="6" xfId="13" applyFont="1" applyFill="1" applyBorder="1" applyAlignment="1">
      <alignment horizontal="center" vertical="center"/>
    </xf>
    <xf numFmtId="0" fontId="85" fillId="0" borderId="52" xfId="8" applyFont="1" applyFill="1" applyBorder="1" applyAlignment="1">
      <alignment horizontal="justify" vertical="center"/>
    </xf>
    <xf numFmtId="43" fontId="35" fillId="3" borderId="48" xfId="13" applyNumberFormat="1" applyFill="1" applyBorder="1" applyAlignment="1">
      <alignment horizontal="center" vertical="center"/>
    </xf>
    <xf numFmtId="0" fontId="2" fillId="3" borderId="9" xfId="13" applyFont="1" applyFill="1" applyBorder="1" applyAlignment="1">
      <alignment vertical="center"/>
    </xf>
    <xf numFmtId="43" fontId="35" fillId="0" borderId="48" xfId="13" applyNumberFormat="1" applyFill="1" applyBorder="1" applyAlignment="1">
      <alignment horizontal="center" vertical="center"/>
    </xf>
    <xf numFmtId="0" fontId="2" fillId="3" borderId="9" xfId="13" applyFont="1" applyFill="1" applyBorder="1" applyAlignment="1">
      <alignment vertical="center" wrapText="1"/>
    </xf>
    <xf numFmtId="0" fontId="2" fillId="3" borderId="9" xfId="13" applyFont="1" applyFill="1" applyBorder="1" applyAlignment="1">
      <alignment horizontal="left" vertical="center" wrapText="1"/>
    </xf>
    <xf numFmtId="0" fontId="2" fillId="3" borderId="5" xfId="13" applyFont="1" applyFill="1" applyBorder="1" applyAlignment="1">
      <alignment vertical="center" wrapText="1"/>
    </xf>
    <xf numFmtId="164" fontId="70" fillId="3" borderId="69" xfId="8" applyNumberFormat="1" applyFont="1" applyFill="1" applyBorder="1" applyAlignment="1">
      <alignment vertical="center" wrapText="1"/>
    </xf>
    <xf numFmtId="0" fontId="35" fillId="3" borderId="47" xfId="13" applyFill="1" applyBorder="1" applyAlignment="1">
      <alignment vertical="center"/>
    </xf>
    <xf numFmtId="164" fontId="70" fillId="0" borderId="39" xfId="8" applyNumberFormat="1" applyFont="1" applyFill="1" applyBorder="1" applyAlignment="1">
      <alignment vertical="center" wrapText="1"/>
    </xf>
    <xf numFmtId="43" fontId="104" fillId="40" borderId="30" xfId="20" applyFont="1" applyFill="1" applyBorder="1" applyAlignment="1">
      <alignment vertical="center"/>
    </xf>
    <xf numFmtId="0" fontId="209" fillId="0" borderId="47" xfId="13" applyFont="1" applyFill="1" applyBorder="1" applyAlignment="1">
      <alignment horizontal="center" vertical="center"/>
    </xf>
    <xf numFmtId="0" fontId="85" fillId="0" borderId="47" xfId="8" applyFont="1" applyFill="1" applyBorder="1" applyAlignment="1">
      <alignment vertical="center" wrapText="1"/>
    </xf>
    <xf numFmtId="0" fontId="46" fillId="0" borderId="0" xfId="0" applyFont="1" applyAlignment="1">
      <alignment horizontal="center" vertical="center"/>
    </xf>
    <xf numFmtId="0" fontId="210" fillId="3" borderId="30" xfId="0" applyFont="1" applyFill="1" applyBorder="1" applyAlignment="1">
      <alignment horizontal="center" vertical="center"/>
    </xf>
    <xf numFmtId="0" fontId="210" fillId="3" borderId="46" xfId="0" applyFont="1" applyFill="1" applyBorder="1" applyAlignment="1">
      <alignment horizontal="center" vertical="center"/>
    </xf>
    <xf numFmtId="0" fontId="1" fillId="0" borderId="47" xfId="13" applyFont="1" applyFill="1" applyBorder="1" applyAlignment="1">
      <alignment horizontal="center" vertical="center" wrapText="1"/>
    </xf>
    <xf numFmtId="0" fontId="211" fillId="0" borderId="0" xfId="10" applyFont="1"/>
    <xf numFmtId="0" fontId="106" fillId="0" borderId="0" xfId="13" applyFont="1"/>
    <xf numFmtId="0" fontId="209" fillId="0" borderId="0" xfId="13" applyFont="1" applyAlignment="1">
      <alignment horizontal="left"/>
    </xf>
    <xf numFmtId="0" fontId="209" fillId="0" borderId="0" xfId="13" applyFont="1"/>
    <xf numFmtId="0" fontId="41" fillId="0" borderId="0" xfId="8" applyFont="1" applyAlignment="1"/>
    <xf numFmtId="0" fontId="41" fillId="0" borderId="0" xfId="8" applyFont="1" applyAlignment="1">
      <alignment horizontal="center" vertical="center"/>
    </xf>
    <xf numFmtId="0" fontId="46" fillId="0" borderId="0" xfId="8" applyFont="1"/>
    <xf numFmtId="0" fontId="166" fillId="0" borderId="0" xfId="13" applyFont="1" applyAlignment="1">
      <alignment horizontal="center" vertical="center"/>
    </xf>
    <xf numFmtId="0" fontId="145" fillId="22" borderId="34" xfId="0" applyFont="1" applyFill="1" applyBorder="1" applyAlignment="1">
      <alignment horizontal="center" vertical="center" wrapText="1"/>
    </xf>
    <xf numFmtId="0" fontId="145" fillId="22" borderId="20" xfId="0" applyFont="1" applyFill="1" applyBorder="1" applyAlignment="1">
      <alignment horizontal="center" vertical="center" wrapText="1"/>
    </xf>
    <xf numFmtId="0" fontId="145" fillId="22" borderId="35" xfId="0" applyFont="1" applyFill="1" applyBorder="1" applyAlignment="1">
      <alignment horizontal="center" vertical="center" wrapText="1"/>
    </xf>
    <xf numFmtId="0" fontId="145" fillId="22" borderId="42" xfId="0" applyFont="1" applyFill="1" applyBorder="1" applyAlignment="1">
      <alignment horizontal="center" vertical="center" wrapText="1"/>
    </xf>
    <xf numFmtId="0" fontId="145" fillId="22" borderId="17" xfId="0" applyFont="1" applyFill="1" applyBorder="1" applyAlignment="1">
      <alignment horizontal="center" vertical="center" wrapText="1"/>
    </xf>
    <xf numFmtId="0" fontId="145" fillId="22" borderId="28" xfId="0" applyFont="1" applyFill="1" applyBorder="1" applyAlignment="1">
      <alignment horizontal="center" vertical="center" wrapText="1"/>
    </xf>
    <xf numFmtId="0" fontId="161" fillId="3" borderId="0" xfId="0" applyFont="1" applyFill="1" applyAlignment="1" applyProtection="1">
      <alignment horizontal="center" vertical="center" wrapText="1"/>
      <protection locked="0"/>
    </xf>
    <xf numFmtId="0" fontId="157" fillId="3" borderId="0" xfId="0" applyFont="1" applyFill="1" applyAlignment="1" applyProtection="1">
      <alignment horizontal="center"/>
      <protection locked="0"/>
    </xf>
    <xf numFmtId="0" fontId="51" fillId="0" borderId="0" xfId="0" applyFont="1" applyAlignment="1" applyProtection="1">
      <alignment horizontal="center" vertical="center" wrapText="1"/>
      <protection locked="0"/>
    </xf>
    <xf numFmtId="0" fontId="145" fillId="22" borderId="32" xfId="0" applyFont="1" applyFill="1" applyBorder="1" applyAlignment="1">
      <alignment horizontal="center" vertical="center" wrapText="1"/>
    </xf>
    <xf numFmtId="0" fontId="145" fillId="22" borderId="41" xfId="0" applyFont="1" applyFill="1" applyBorder="1" applyAlignment="1">
      <alignment horizontal="center" vertical="center" wrapText="1"/>
    </xf>
    <xf numFmtId="0" fontId="145" fillId="22" borderId="37" xfId="0" applyFont="1" applyFill="1" applyBorder="1" applyAlignment="1">
      <alignment horizontal="center" vertical="center" wrapText="1"/>
    </xf>
    <xf numFmtId="0" fontId="155" fillId="3" borderId="0" xfId="0" applyFont="1" applyFill="1" applyAlignment="1" applyProtection="1">
      <alignment horizontal="center" vertical="center" wrapText="1"/>
      <protection locked="0"/>
    </xf>
    <xf numFmtId="0" fontId="121" fillId="7" borderId="138" xfId="8" applyFont="1" applyFill="1" applyBorder="1" applyAlignment="1">
      <alignment horizontal="center" vertical="center" textRotation="90" wrapText="1"/>
    </xf>
    <xf numFmtId="0" fontId="121" fillId="7" borderId="30" xfId="8" applyFont="1" applyFill="1" applyBorder="1" applyAlignment="1">
      <alignment horizontal="center" vertical="center" textRotation="90" wrapText="1"/>
    </xf>
    <xf numFmtId="0" fontId="121" fillId="7" borderId="8" xfId="8" applyFont="1" applyFill="1" applyBorder="1" applyAlignment="1">
      <alignment horizontal="center" vertical="center" textRotation="90" wrapText="1"/>
    </xf>
    <xf numFmtId="0" fontId="123" fillId="35" borderId="138" xfId="8" applyFont="1" applyFill="1" applyBorder="1" applyAlignment="1">
      <alignment horizontal="center" vertical="center" textRotation="90" wrapText="1"/>
    </xf>
    <xf numFmtId="0" fontId="123" fillId="35" borderId="8" xfId="8" applyFont="1" applyFill="1" applyBorder="1" applyAlignment="1">
      <alignment horizontal="center" vertical="center" textRotation="90" wrapText="1"/>
    </xf>
    <xf numFmtId="0" fontId="123" fillId="5" borderId="138" xfId="8" applyFont="1" applyFill="1" applyBorder="1" applyAlignment="1">
      <alignment horizontal="center" vertical="center" textRotation="90" wrapText="1"/>
    </xf>
    <xf numFmtId="0" fontId="123" fillId="5" borderId="30" xfId="8" applyFont="1" applyFill="1" applyBorder="1" applyAlignment="1">
      <alignment horizontal="center" vertical="center" textRotation="90" wrapText="1"/>
    </xf>
    <xf numFmtId="0" fontId="123" fillId="5" borderId="8" xfId="8" applyFont="1" applyFill="1" applyBorder="1" applyAlignment="1">
      <alignment horizontal="center" vertical="center" textRotation="90" wrapText="1"/>
    </xf>
    <xf numFmtId="0" fontId="75" fillId="3" borderId="0" xfId="0" applyFont="1" applyFill="1" applyBorder="1" applyAlignment="1">
      <alignment horizontal="center" vertical="center" wrapText="1"/>
    </xf>
    <xf numFmtId="0" fontId="124" fillId="22" borderId="87" xfId="0" applyFont="1" applyFill="1" applyBorder="1" applyAlignment="1">
      <alignment horizontal="center" vertical="center"/>
    </xf>
    <xf numFmtId="0" fontId="124" fillId="22" borderId="88" xfId="0" applyFont="1" applyFill="1" applyBorder="1" applyAlignment="1">
      <alignment horizontal="center" vertical="center"/>
    </xf>
    <xf numFmtId="0" fontId="64" fillId="12" borderId="83" xfId="2" applyFont="1" applyFill="1" applyBorder="1" applyAlignment="1">
      <alignment horizontal="left" vertical="center" wrapText="1"/>
    </xf>
    <xf numFmtId="0" fontId="64" fillId="12" borderId="84" xfId="2" applyFont="1" applyFill="1" applyBorder="1" applyAlignment="1">
      <alignment horizontal="left" vertical="center" wrapText="1"/>
    </xf>
    <xf numFmtId="0" fontId="169" fillId="0" borderId="47" xfId="8" applyFont="1" applyFill="1" applyBorder="1" applyAlignment="1">
      <alignment horizontal="center" vertical="top" wrapText="1"/>
    </xf>
    <xf numFmtId="0" fontId="169" fillId="0" borderId="47" xfId="8" applyFont="1" applyFill="1" applyBorder="1" applyAlignment="1">
      <alignment horizontal="center" vertical="justify"/>
    </xf>
    <xf numFmtId="0" fontId="0" fillId="0" borderId="47" xfId="0" applyFill="1" applyBorder="1" applyAlignment="1">
      <alignment horizontal="center" vertical="top" wrapText="1"/>
    </xf>
    <xf numFmtId="0" fontId="173" fillId="0" borderId="47" xfId="4" applyFont="1" applyFill="1" applyBorder="1" applyAlignment="1" applyProtection="1">
      <alignment horizontal="justify" vertical="center" wrapText="1"/>
    </xf>
    <xf numFmtId="0" fontId="124" fillId="22" borderId="83" xfId="0" applyFont="1" applyFill="1" applyBorder="1" applyAlignment="1">
      <alignment horizontal="center" vertical="center"/>
    </xf>
    <xf numFmtId="0" fontId="124" fillId="22" borderId="84" xfId="0" applyFont="1" applyFill="1" applyBorder="1" applyAlignment="1">
      <alignment horizontal="center" vertical="center"/>
    </xf>
    <xf numFmtId="0" fontId="124" fillId="22" borderId="85" xfId="0" applyFont="1" applyFill="1" applyBorder="1" applyAlignment="1">
      <alignment horizontal="center" vertical="center"/>
    </xf>
    <xf numFmtId="0" fontId="64" fillId="12" borderId="85" xfId="2" applyFont="1" applyFill="1" applyBorder="1" applyAlignment="1">
      <alignment horizontal="left" vertical="center" wrapText="1"/>
    </xf>
    <xf numFmtId="0" fontId="115" fillId="22" borderId="83" xfId="2" applyFont="1" applyFill="1" applyBorder="1" applyAlignment="1">
      <alignment horizontal="left" vertical="center" wrapText="1"/>
    </xf>
    <xf numFmtId="0" fontId="115" fillId="22" borderId="85" xfId="2" applyFont="1" applyFill="1" applyBorder="1" applyAlignment="1">
      <alignment horizontal="left" vertical="center" wrapText="1"/>
    </xf>
    <xf numFmtId="0" fontId="64" fillId="21" borderId="80" xfId="2" applyFont="1" applyFill="1" applyBorder="1" applyAlignment="1">
      <alignment horizontal="left" vertical="center" wrapText="1"/>
    </xf>
    <xf numFmtId="0" fontId="64" fillId="21" borderId="77" xfId="2" applyFont="1" applyFill="1" applyBorder="1" applyAlignment="1">
      <alignment horizontal="left" vertical="center" wrapText="1"/>
    </xf>
    <xf numFmtId="0" fontId="113" fillId="0" borderId="0" xfId="18" applyFont="1" applyFill="1" applyBorder="1" applyAlignment="1">
      <alignment horizontal="left" vertical="center" wrapText="1"/>
    </xf>
    <xf numFmtId="0" fontId="113" fillId="0" borderId="17" xfId="18" applyFont="1" applyFill="1" applyBorder="1" applyAlignment="1">
      <alignment horizontal="left" vertical="center" wrapText="1"/>
    </xf>
    <xf numFmtId="0" fontId="31" fillId="0" borderId="0" xfId="18" applyBorder="1" applyAlignment="1">
      <alignment vertical="center"/>
    </xf>
    <xf numFmtId="0" fontId="113" fillId="0" borderId="91" xfId="18" applyFont="1" applyFill="1" applyBorder="1" applyAlignment="1">
      <alignment horizontal="left" vertical="center" wrapText="1"/>
    </xf>
    <xf numFmtId="0" fontId="31" fillId="17" borderId="166" xfId="18" applyFill="1" applyBorder="1" applyAlignment="1">
      <alignment horizontal="center" vertical="center" wrapText="1"/>
    </xf>
    <xf numFmtId="0" fontId="31" fillId="17" borderId="64" xfId="18" applyFill="1" applyBorder="1" applyAlignment="1">
      <alignment horizontal="center" vertical="center" wrapText="1"/>
    </xf>
    <xf numFmtId="0" fontId="31" fillId="17" borderId="63" xfId="18" applyFill="1" applyBorder="1" applyAlignment="1">
      <alignment horizontal="center" vertical="center" wrapText="1"/>
    </xf>
    <xf numFmtId="0" fontId="31" fillId="17" borderId="175" xfId="18" applyFill="1" applyBorder="1" applyAlignment="1">
      <alignment horizontal="center" vertical="center" wrapText="1"/>
    </xf>
    <xf numFmtId="0" fontId="31" fillId="18" borderId="167" xfId="18" applyFill="1" applyBorder="1" applyAlignment="1">
      <alignment horizontal="center" vertical="center" wrapText="1"/>
    </xf>
    <xf numFmtId="0" fontId="31" fillId="18" borderId="176" xfId="18" applyFill="1" applyBorder="1" applyAlignment="1">
      <alignment horizontal="center" vertical="center" wrapText="1"/>
    </xf>
    <xf numFmtId="0" fontId="31" fillId="18" borderId="177" xfId="18" applyFill="1" applyBorder="1" applyAlignment="1">
      <alignment horizontal="center" vertical="center" wrapText="1"/>
    </xf>
    <xf numFmtId="0" fontId="31" fillId="18" borderId="178" xfId="18" applyFill="1" applyBorder="1" applyAlignment="1">
      <alignment horizontal="center" vertical="center" wrapText="1"/>
    </xf>
    <xf numFmtId="0" fontId="110" fillId="14" borderId="151" xfId="18" applyFont="1" applyFill="1" applyBorder="1" applyAlignment="1">
      <alignment horizontal="center" vertical="center" wrapText="1"/>
    </xf>
    <xf numFmtId="0" fontId="110" fillId="14" borderId="0" xfId="18" applyFont="1" applyFill="1" applyBorder="1" applyAlignment="1">
      <alignment horizontal="center" vertical="center" wrapText="1"/>
    </xf>
    <xf numFmtId="0" fontId="110" fillId="14" borderId="157" xfId="18" applyFont="1" applyFill="1" applyBorder="1" applyAlignment="1">
      <alignment horizontal="center" vertical="center" wrapText="1"/>
    </xf>
    <xf numFmtId="0" fontId="110" fillId="14" borderId="139" xfId="18" applyFont="1" applyFill="1" applyBorder="1" applyAlignment="1">
      <alignment horizontal="center" vertical="center" wrapText="1"/>
    </xf>
    <xf numFmtId="0" fontId="110" fillId="14" borderId="158" xfId="18" applyFont="1" applyFill="1" applyBorder="1" applyAlignment="1">
      <alignment horizontal="center" vertical="center" wrapText="1"/>
    </xf>
    <xf numFmtId="0" fontId="110" fillId="14" borderId="162" xfId="18" applyFont="1" applyFill="1" applyBorder="1" applyAlignment="1">
      <alignment horizontal="center" vertical="center" wrapText="1"/>
    </xf>
    <xf numFmtId="0" fontId="110" fillId="14" borderId="169" xfId="18" applyFont="1" applyFill="1" applyBorder="1" applyAlignment="1">
      <alignment horizontal="center" vertical="center" wrapText="1"/>
    </xf>
    <xf numFmtId="0" fontId="110" fillId="14" borderId="170" xfId="18" applyFont="1" applyFill="1" applyBorder="1" applyAlignment="1">
      <alignment horizontal="center" vertical="center" wrapText="1"/>
    </xf>
    <xf numFmtId="0" fontId="110" fillId="14" borderId="171" xfId="18" applyFont="1" applyFill="1" applyBorder="1" applyAlignment="1">
      <alignment horizontal="center" vertical="center" wrapText="1"/>
    </xf>
    <xf numFmtId="0" fontId="110" fillId="14" borderId="172" xfId="18" applyFont="1" applyFill="1" applyBorder="1" applyAlignment="1">
      <alignment horizontal="center" vertical="center" wrapText="1"/>
    </xf>
    <xf numFmtId="0" fontId="31" fillId="16" borderId="173" xfId="18" applyFont="1" applyFill="1" applyBorder="1" applyAlignment="1">
      <alignment horizontal="center" vertical="center"/>
    </xf>
    <xf numFmtId="0" fontId="31" fillId="16" borderId="74" xfId="18" applyFont="1" applyFill="1" applyBorder="1" applyAlignment="1">
      <alignment horizontal="center" vertical="center"/>
    </xf>
    <xf numFmtId="0" fontId="31" fillId="16" borderId="67" xfId="18" applyFont="1" applyFill="1" applyBorder="1" applyAlignment="1">
      <alignment horizontal="center" vertical="center" wrapText="1"/>
    </xf>
    <xf numFmtId="0" fontId="31" fillId="16" borderId="174" xfId="18" applyFont="1" applyFill="1" applyBorder="1" applyAlignment="1">
      <alignment horizontal="center" vertical="center" wrapText="1"/>
    </xf>
    <xf numFmtId="0" fontId="106" fillId="0" borderId="47" xfId="18" applyFont="1" applyBorder="1" applyAlignment="1" applyProtection="1">
      <alignment horizontal="center" vertical="center" wrapText="1"/>
      <protection locked="0"/>
    </xf>
    <xf numFmtId="165" fontId="106" fillId="0" borderId="47" xfId="18" applyNumberFormat="1" applyFont="1" applyBorder="1" applyAlignment="1" applyProtection="1">
      <alignment horizontal="center" vertical="center"/>
      <protection locked="0"/>
    </xf>
    <xf numFmtId="0" fontId="177" fillId="0" borderId="30" xfId="18" applyFont="1" applyFill="1" applyBorder="1" applyAlignment="1">
      <alignment horizontal="center" vertical="center" wrapText="1"/>
    </xf>
    <xf numFmtId="2" fontId="179" fillId="0" borderId="30" xfId="18" applyNumberFormat="1" applyFont="1" applyFill="1" applyBorder="1" applyAlignment="1">
      <alignment horizontal="center" vertical="center" wrapText="1"/>
    </xf>
    <xf numFmtId="0" fontId="179" fillId="0" borderId="30" xfId="18" applyFont="1" applyFill="1" applyBorder="1" applyAlignment="1">
      <alignment horizontal="center" vertical="center" wrapText="1"/>
    </xf>
    <xf numFmtId="0" fontId="177" fillId="0" borderId="47" xfId="18" applyFont="1" applyFill="1" applyBorder="1" applyAlignment="1">
      <alignment horizontal="center" vertical="center" wrapText="1"/>
    </xf>
    <xf numFmtId="2" fontId="179" fillId="0" borderId="47" xfId="18" applyNumberFormat="1" applyFont="1" applyFill="1" applyBorder="1" applyAlignment="1">
      <alignment horizontal="center" vertical="center" wrapText="1"/>
    </xf>
    <xf numFmtId="0" fontId="179" fillId="0" borderId="47" xfId="18" applyFont="1" applyFill="1" applyBorder="1" applyAlignment="1">
      <alignment horizontal="center" vertical="center" wrapText="1"/>
    </xf>
    <xf numFmtId="0" fontId="48" fillId="0" borderId="0" xfId="4" applyBorder="1" applyAlignment="1" applyProtection="1">
      <alignment horizontal="center" vertical="center" wrapText="1"/>
    </xf>
    <xf numFmtId="0" fontId="48" fillId="0" borderId="0" xfId="4" applyAlignment="1" applyProtection="1">
      <alignment horizontal="center" vertical="center" wrapText="1"/>
    </xf>
    <xf numFmtId="0" fontId="41" fillId="0" borderId="83" xfId="16" applyFont="1" applyBorder="1" applyAlignment="1">
      <alignment horizontal="center" vertical="center"/>
    </xf>
    <xf numFmtId="0" fontId="41" fillId="0" borderId="84" xfId="16" applyFont="1" applyBorder="1" applyAlignment="1">
      <alignment horizontal="center" vertical="center"/>
    </xf>
    <xf numFmtId="0" fontId="41" fillId="0" borderId="85" xfId="16" applyFont="1" applyBorder="1" applyAlignment="1">
      <alignment horizontal="center" vertical="center"/>
    </xf>
    <xf numFmtId="0" fontId="64" fillId="13" borderId="34" xfId="2" applyFont="1" applyFill="1" applyBorder="1" applyAlignment="1" applyProtection="1">
      <alignment horizontal="left" vertical="center" wrapText="1"/>
      <protection locked="0"/>
    </xf>
    <xf numFmtId="0" fontId="64" fillId="13" borderId="20" xfId="2" applyFont="1" applyFill="1" applyBorder="1" applyAlignment="1" applyProtection="1">
      <alignment horizontal="left" vertical="center" wrapText="1"/>
      <protection locked="0"/>
    </xf>
    <xf numFmtId="0" fontId="64" fillId="13" borderId="35" xfId="2" applyFont="1" applyFill="1" applyBorder="1" applyAlignment="1" applyProtection="1">
      <alignment horizontal="left" vertical="center" wrapText="1"/>
      <protection locked="0"/>
    </xf>
    <xf numFmtId="0" fontId="64" fillId="13" borderId="42" xfId="2" applyFont="1" applyFill="1" applyBorder="1" applyAlignment="1" applyProtection="1">
      <alignment horizontal="left" vertical="center" wrapText="1"/>
      <protection locked="0"/>
    </xf>
    <xf numFmtId="0" fontId="64" fillId="13" borderId="17" xfId="2" applyFont="1" applyFill="1" applyBorder="1" applyAlignment="1" applyProtection="1">
      <alignment horizontal="left" vertical="center" wrapText="1"/>
      <protection locked="0"/>
    </xf>
    <xf numFmtId="0" fontId="103" fillId="0" borderId="0" xfId="18" applyFont="1" applyFill="1" applyBorder="1" applyAlignment="1">
      <alignment horizontal="left"/>
    </xf>
    <xf numFmtId="0" fontId="103" fillId="22" borderId="179" xfId="18" applyFont="1" applyFill="1" applyBorder="1" applyAlignment="1">
      <alignment horizontal="center" vertical="center" wrapText="1"/>
    </xf>
    <xf numFmtId="0" fontId="103" fillId="22" borderId="180" xfId="18" applyFont="1" applyFill="1" applyBorder="1" applyAlignment="1">
      <alignment horizontal="center" vertical="center" wrapText="1"/>
    </xf>
    <xf numFmtId="0" fontId="103" fillId="22" borderId="181" xfId="18" applyFont="1" applyFill="1" applyBorder="1" applyAlignment="1">
      <alignment horizontal="center" vertical="center" wrapText="1"/>
    </xf>
    <xf numFmtId="0" fontId="103" fillId="22" borderId="182" xfId="18" applyFont="1" applyFill="1" applyBorder="1" applyAlignment="1">
      <alignment horizontal="center" vertical="center" wrapText="1"/>
    </xf>
    <xf numFmtId="0" fontId="103" fillId="22" borderId="171" xfId="18" applyFont="1" applyFill="1" applyBorder="1" applyAlignment="1">
      <alignment horizontal="center" vertical="center" wrapText="1"/>
    </xf>
    <xf numFmtId="0" fontId="103" fillId="22" borderId="183" xfId="18" applyFont="1" applyFill="1" applyBorder="1" applyAlignment="1">
      <alignment horizontal="center" vertical="center" wrapText="1"/>
    </xf>
    <xf numFmtId="0" fontId="129" fillId="22" borderId="182" xfId="18" applyFont="1" applyFill="1" applyBorder="1" applyAlignment="1">
      <alignment horizontal="center" vertical="center" wrapText="1"/>
    </xf>
    <xf numFmtId="0" fontId="129" fillId="22" borderId="170" xfId="18" applyFont="1" applyFill="1" applyBorder="1" applyAlignment="1">
      <alignment horizontal="center" vertical="center" wrapText="1"/>
    </xf>
    <xf numFmtId="0" fontId="129" fillId="22" borderId="171" xfId="18" applyFont="1" applyFill="1" applyBorder="1" applyAlignment="1">
      <alignment horizontal="center" vertical="center" wrapText="1"/>
    </xf>
    <xf numFmtId="0" fontId="129" fillId="22" borderId="184" xfId="18" applyFont="1" applyFill="1" applyBorder="1" applyAlignment="1">
      <alignment horizontal="center" vertical="center" wrapText="1"/>
    </xf>
    <xf numFmtId="0" fontId="115" fillId="22" borderId="81" xfId="16" applyFont="1" applyFill="1" applyBorder="1" applyAlignment="1">
      <alignment horizontal="center" vertical="center" wrapText="1"/>
    </xf>
    <xf numFmtId="0" fontId="115" fillId="22" borderId="86" xfId="16" applyFont="1" applyFill="1" applyBorder="1" applyAlignment="1">
      <alignment horizontal="center" vertical="center" wrapText="1"/>
    </xf>
    <xf numFmtId="0" fontId="115" fillId="22" borderId="82" xfId="16" applyFont="1" applyFill="1" applyBorder="1" applyAlignment="1">
      <alignment horizontal="center" vertical="center" wrapText="1"/>
    </xf>
    <xf numFmtId="0" fontId="144" fillId="9" borderId="32" xfId="18" applyFont="1" applyFill="1" applyBorder="1" applyAlignment="1">
      <alignment horizontal="center" vertical="center"/>
    </xf>
    <xf numFmtId="0" fontId="144" fillId="9" borderId="41" xfId="18" applyFont="1" applyFill="1" applyBorder="1" applyAlignment="1">
      <alignment horizontal="center" vertical="center"/>
    </xf>
    <xf numFmtId="0" fontId="144" fillId="9" borderId="37" xfId="18" applyFont="1" applyFill="1" applyBorder="1" applyAlignment="1">
      <alignment horizontal="center" vertical="center"/>
    </xf>
    <xf numFmtId="0" fontId="104" fillId="8" borderId="185" xfId="18" applyFont="1" applyFill="1" applyBorder="1" applyAlignment="1">
      <alignment horizontal="center" wrapText="1"/>
    </xf>
    <xf numFmtId="0" fontId="104" fillId="8" borderId="66" xfId="18" applyFont="1" applyFill="1" applyBorder="1" applyAlignment="1">
      <alignment horizontal="center" wrapText="1"/>
    </xf>
    <xf numFmtId="0" fontId="104" fillId="8" borderId="62" xfId="18" applyFont="1" applyFill="1" applyBorder="1" applyAlignment="1">
      <alignment horizontal="center" wrapText="1"/>
    </xf>
    <xf numFmtId="0" fontId="104" fillId="6" borderId="65" xfId="18" applyFont="1" applyFill="1" applyBorder="1" applyAlignment="1">
      <alignment horizontal="center" wrapText="1"/>
    </xf>
    <xf numFmtId="0" fontId="104" fillId="6" borderId="66" xfId="18" applyFont="1" applyFill="1" applyBorder="1" applyAlignment="1">
      <alignment horizontal="center" wrapText="1"/>
    </xf>
    <xf numFmtId="0" fontId="104" fillId="6" borderId="62" xfId="18" applyFont="1" applyFill="1" applyBorder="1" applyAlignment="1">
      <alignment horizontal="center" wrapText="1"/>
    </xf>
    <xf numFmtId="0" fontId="104" fillId="13" borderId="65" xfId="18" applyFont="1" applyFill="1" applyBorder="1" applyAlignment="1">
      <alignment horizontal="center"/>
    </xf>
    <xf numFmtId="0" fontId="104" fillId="13" borderId="150" xfId="18" applyFont="1" applyFill="1" applyBorder="1" applyAlignment="1">
      <alignment horizontal="center"/>
    </xf>
    <xf numFmtId="0" fontId="104" fillId="13" borderId="66" xfId="18" applyFont="1" applyFill="1" applyBorder="1" applyAlignment="1">
      <alignment horizontal="center"/>
    </xf>
    <xf numFmtId="0" fontId="104" fillId="13" borderId="152" xfId="18" applyFont="1" applyFill="1" applyBorder="1" applyAlignment="1">
      <alignment horizontal="center"/>
    </xf>
    <xf numFmtId="0" fontId="103" fillId="14" borderId="6" xfId="18" applyFont="1" applyFill="1" applyBorder="1" applyAlignment="1">
      <alignment horizontal="center" vertical="center" textRotation="90" wrapText="1"/>
    </xf>
    <xf numFmtId="0" fontId="103" fillId="14" borderId="70" xfId="18" applyFont="1" applyFill="1" applyBorder="1" applyAlignment="1">
      <alignment horizontal="center" vertical="center" textRotation="90" wrapText="1"/>
    </xf>
    <xf numFmtId="0" fontId="104" fillId="7" borderId="111" xfId="18" applyFont="1" applyFill="1" applyBorder="1" applyAlignment="1">
      <alignment horizontal="center" vertical="center"/>
    </xf>
    <xf numFmtId="0" fontId="104" fillId="7" borderId="112" xfId="18" applyFont="1" applyFill="1" applyBorder="1" applyAlignment="1">
      <alignment horizontal="center" vertical="center"/>
    </xf>
    <xf numFmtId="2" fontId="102" fillId="8" borderId="33" xfId="18" applyNumberFormat="1" applyFont="1" applyFill="1" applyBorder="1" applyAlignment="1">
      <alignment horizontal="left" vertical="center" wrapText="1"/>
    </xf>
    <xf numFmtId="2" fontId="102" fillId="8" borderId="111" xfId="18" applyNumberFormat="1" applyFont="1" applyFill="1" applyBorder="1" applyAlignment="1">
      <alignment horizontal="left" vertical="center" wrapText="1"/>
    </xf>
    <xf numFmtId="0" fontId="102" fillId="8" borderId="111" xfId="18" applyFont="1" applyFill="1" applyBorder="1" applyAlignment="1">
      <alignment horizontal="left" vertical="center" wrapText="1"/>
    </xf>
    <xf numFmtId="0" fontId="172" fillId="3" borderId="15" xfId="19" applyFont="1" applyFill="1" applyBorder="1" applyAlignment="1">
      <alignment horizontal="center" vertical="top" wrapText="1"/>
    </xf>
    <xf numFmtId="0" fontId="172" fillId="3" borderId="30" xfId="19" applyFont="1" applyFill="1" applyBorder="1" applyAlignment="1">
      <alignment horizontal="center" vertical="top" wrapText="1"/>
    </xf>
    <xf numFmtId="0" fontId="172" fillId="3" borderId="8" xfId="19" applyFont="1" applyFill="1" applyBorder="1" applyAlignment="1">
      <alignment horizontal="center" vertical="top" wrapText="1"/>
    </xf>
    <xf numFmtId="0" fontId="172" fillId="3" borderId="15" xfId="19" applyFont="1" applyFill="1" applyBorder="1" applyAlignment="1">
      <alignment horizontal="center" vertical="top"/>
    </xf>
    <xf numFmtId="0" fontId="172" fillId="3" borderId="30" xfId="19" applyFont="1" applyFill="1" applyBorder="1" applyAlignment="1">
      <alignment horizontal="center" vertical="top"/>
    </xf>
    <xf numFmtId="0" fontId="172" fillId="3" borderId="8" xfId="19" applyFont="1" applyFill="1" applyBorder="1" applyAlignment="1">
      <alignment horizontal="center" vertical="top"/>
    </xf>
    <xf numFmtId="17" fontId="172" fillId="3" borderId="15" xfId="19" applyNumberFormat="1" applyFont="1" applyFill="1" applyBorder="1" applyAlignment="1">
      <alignment horizontal="center" vertical="top"/>
    </xf>
    <xf numFmtId="49" fontId="172" fillId="3" borderId="138" xfId="19" applyNumberFormat="1" applyFont="1" applyFill="1" applyBorder="1" applyAlignment="1">
      <alignment horizontal="center" vertical="top" wrapText="1"/>
    </xf>
    <xf numFmtId="49" fontId="172" fillId="3" borderId="30" xfId="19" applyNumberFormat="1" applyFont="1" applyFill="1" applyBorder="1" applyAlignment="1">
      <alignment horizontal="center" vertical="top" wrapText="1"/>
    </xf>
    <xf numFmtId="49" fontId="172" fillId="3" borderId="8" xfId="19" applyNumberFormat="1" applyFont="1" applyFill="1" applyBorder="1" applyAlignment="1">
      <alignment horizontal="center" vertical="top" wrapText="1"/>
    </xf>
    <xf numFmtId="0" fontId="172" fillId="3" borderId="15" xfId="19" applyFont="1" applyFill="1" applyBorder="1" applyAlignment="1">
      <alignment horizontal="center"/>
    </xf>
    <xf numFmtId="0" fontId="172" fillId="3" borderId="30" xfId="19" applyFont="1" applyFill="1" applyBorder="1" applyAlignment="1">
      <alignment horizontal="center"/>
    </xf>
    <xf numFmtId="0" fontId="172" fillId="3" borderId="8" xfId="19" applyFont="1" applyFill="1" applyBorder="1" applyAlignment="1">
      <alignment horizontal="center"/>
    </xf>
    <xf numFmtId="0" fontId="146" fillId="22" borderId="73" xfId="0" applyFont="1" applyFill="1" applyBorder="1" applyAlignment="1">
      <alignment horizontal="center" vertical="center" wrapText="1"/>
    </xf>
    <xf numFmtId="0" fontId="146" fillId="22" borderId="0" xfId="0" applyFont="1" applyFill="1" applyBorder="1" applyAlignment="1">
      <alignment horizontal="center" vertical="center" wrapText="1"/>
    </xf>
    <xf numFmtId="0" fontId="146" fillId="22" borderId="34" xfId="19" applyFont="1" applyFill="1" applyBorder="1" applyAlignment="1">
      <alignment horizontal="center" vertical="center"/>
    </xf>
    <xf numFmtId="0" fontId="146" fillId="22" borderId="20" xfId="19" applyFont="1" applyFill="1" applyBorder="1" applyAlignment="1">
      <alignment horizontal="center" vertical="center"/>
    </xf>
    <xf numFmtId="0" fontId="124" fillId="22" borderId="36" xfId="19" applyFont="1" applyFill="1" applyBorder="1" applyAlignment="1">
      <alignment horizontal="center" vertical="center"/>
    </xf>
    <xf numFmtId="0" fontId="124" fillId="22" borderId="0" xfId="19" applyFont="1" applyFill="1" applyBorder="1" applyAlignment="1">
      <alignment horizontal="center" vertical="center"/>
    </xf>
    <xf numFmtId="0" fontId="77" fillId="12" borderId="42" xfId="19" applyFont="1" applyFill="1" applyBorder="1" applyAlignment="1">
      <alignment vertical="center" wrapText="1"/>
    </xf>
    <xf numFmtId="0" fontId="77" fillId="12" borderId="17" xfId="19" applyFont="1" applyFill="1" applyBorder="1" applyAlignment="1">
      <alignment vertical="center" wrapText="1"/>
    </xf>
    <xf numFmtId="0" fontId="147" fillId="3" borderId="29" xfId="19" applyFont="1" applyFill="1" applyBorder="1" applyAlignment="1">
      <alignment horizontal="center" vertical="center" wrapText="1"/>
    </xf>
    <xf numFmtId="0" fontId="147" fillId="3" borderId="25" xfId="19" applyFont="1" applyFill="1" applyBorder="1" applyAlignment="1">
      <alignment horizontal="center" vertical="center" wrapText="1"/>
    </xf>
    <xf numFmtId="0" fontId="147" fillId="3" borderId="26" xfId="19" applyFont="1" applyFill="1" applyBorder="1" applyAlignment="1">
      <alignment horizontal="center" vertical="center" wrapText="1"/>
    </xf>
    <xf numFmtId="0" fontId="147" fillId="8" borderId="29" xfId="19" applyFont="1" applyFill="1" applyBorder="1" applyAlignment="1">
      <alignment horizontal="center" vertical="center" wrapText="1"/>
    </xf>
    <xf numFmtId="0" fontId="147" fillId="8" borderId="25" xfId="19" applyFont="1" applyFill="1" applyBorder="1" applyAlignment="1">
      <alignment horizontal="center" vertical="center" wrapText="1"/>
    </xf>
    <xf numFmtId="0" fontId="147" fillId="8" borderId="26" xfId="19" applyFont="1" applyFill="1" applyBorder="1" applyAlignment="1">
      <alignment horizontal="center" vertical="center" wrapText="1"/>
    </xf>
    <xf numFmtId="0" fontId="74" fillId="8" borderId="123" xfId="19" applyFont="1" applyFill="1" applyBorder="1" applyAlignment="1">
      <alignment horizontal="center" vertical="center" wrapText="1"/>
    </xf>
    <xf numFmtId="0" fontId="74" fillId="8" borderId="124" xfId="19" applyFont="1" applyFill="1" applyBorder="1" applyAlignment="1">
      <alignment horizontal="center" vertical="center" wrapText="1"/>
    </xf>
    <xf numFmtId="0" fontId="74" fillId="8" borderId="125" xfId="19" applyFont="1" applyFill="1" applyBorder="1" applyAlignment="1">
      <alignment horizontal="center" vertical="center" wrapText="1"/>
    </xf>
    <xf numFmtId="0" fontId="74" fillId="8" borderId="126" xfId="19" applyFont="1" applyFill="1" applyBorder="1" applyAlignment="1">
      <alignment horizontal="center" vertical="center" wrapText="1"/>
    </xf>
    <xf numFmtId="0" fontId="130" fillId="8" borderId="29" xfId="19" applyFont="1" applyFill="1" applyBorder="1" applyAlignment="1">
      <alignment horizontal="center" vertical="center" wrapText="1"/>
    </xf>
    <xf numFmtId="0" fontId="130" fillId="8" borderId="25" xfId="19" applyFont="1" applyFill="1" applyBorder="1" applyAlignment="1">
      <alignment horizontal="center" vertical="center" wrapText="1"/>
    </xf>
    <xf numFmtId="0" fontId="130" fillId="8" borderId="26" xfId="19" applyFont="1" applyFill="1" applyBorder="1" applyAlignment="1">
      <alignment horizontal="center" vertical="center" wrapText="1"/>
    </xf>
    <xf numFmtId="0" fontId="147" fillId="8" borderId="123" xfId="19" applyFont="1" applyFill="1" applyBorder="1" applyAlignment="1">
      <alignment horizontal="center" vertical="center" wrapText="1"/>
    </xf>
    <xf numFmtId="0" fontId="147" fillId="8" borderId="124" xfId="19" applyFont="1" applyFill="1" applyBorder="1" applyAlignment="1">
      <alignment horizontal="center" vertical="center" wrapText="1"/>
    </xf>
    <xf numFmtId="0" fontId="147" fillId="8" borderId="3" xfId="19" applyFont="1" applyFill="1" applyBorder="1" applyAlignment="1">
      <alignment horizontal="center" vertical="center" wrapText="1"/>
    </xf>
    <xf numFmtId="0" fontId="147" fillId="8" borderId="24" xfId="19" applyFont="1" applyFill="1" applyBorder="1" applyAlignment="1">
      <alignment horizontal="center" vertical="center" wrapText="1"/>
    </xf>
    <xf numFmtId="0" fontId="130" fillId="8" borderId="125" xfId="19" applyFont="1" applyFill="1" applyBorder="1" applyAlignment="1">
      <alignment horizontal="center" vertical="center"/>
    </xf>
    <xf numFmtId="0" fontId="130" fillId="8" borderId="127" xfId="19" applyFont="1" applyFill="1" applyBorder="1" applyAlignment="1">
      <alignment horizontal="center" vertical="center"/>
    </xf>
    <xf numFmtId="0" fontId="130" fillId="8" borderId="126" xfId="19" applyFont="1" applyFill="1" applyBorder="1" applyAlignment="1">
      <alignment horizontal="center" vertical="center"/>
    </xf>
    <xf numFmtId="0" fontId="130" fillId="8" borderId="128" xfId="19" applyFont="1" applyFill="1" applyBorder="1" applyAlignment="1">
      <alignment horizontal="center" vertical="center"/>
    </xf>
    <xf numFmtId="0" fontId="130" fillId="8" borderId="58" xfId="19" applyFont="1" applyFill="1" applyBorder="1" applyAlignment="1">
      <alignment horizontal="center" vertical="center" wrapText="1"/>
    </xf>
    <xf numFmtId="0" fontId="130" fillId="8" borderId="52" xfId="19" applyFont="1" applyFill="1" applyBorder="1" applyAlignment="1">
      <alignment horizontal="center" vertical="center" wrapText="1"/>
    </xf>
    <xf numFmtId="0" fontId="130" fillId="8" borderId="53" xfId="19" applyFont="1" applyFill="1" applyBorder="1" applyAlignment="1">
      <alignment horizontal="center" vertical="center" wrapText="1"/>
    </xf>
    <xf numFmtId="0" fontId="130" fillId="8" borderId="50" xfId="19" applyFont="1" applyFill="1" applyBorder="1" applyAlignment="1">
      <alignment horizontal="center" vertical="center" wrapText="1"/>
    </xf>
    <xf numFmtId="0" fontId="130" fillId="8" borderId="118" xfId="19" applyFont="1" applyFill="1" applyBorder="1" applyAlignment="1">
      <alignment horizontal="center" vertical="center" wrapText="1"/>
    </xf>
    <xf numFmtId="0" fontId="130" fillId="8" borderId="110" xfId="19" applyFont="1" applyFill="1" applyBorder="1" applyAlignment="1">
      <alignment horizontal="center" vertical="center" wrapText="1"/>
    </xf>
    <xf numFmtId="0" fontId="124" fillId="22" borderId="71" xfId="0" applyFont="1" applyFill="1" applyBorder="1" applyAlignment="1">
      <alignment horizontal="center" vertical="center" wrapText="1"/>
    </xf>
    <xf numFmtId="0" fontId="124" fillId="22" borderId="99" xfId="0" applyFont="1" applyFill="1" applyBorder="1" applyAlignment="1">
      <alignment horizontal="center" vertical="center" wrapText="1"/>
    </xf>
    <xf numFmtId="0" fontId="124" fillId="22" borderId="72" xfId="0" applyFont="1" applyFill="1" applyBorder="1" applyAlignment="1">
      <alignment horizontal="center" vertical="center" wrapText="1"/>
    </xf>
    <xf numFmtId="0" fontId="116" fillId="28" borderId="75" xfId="0" applyFont="1" applyFill="1" applyBorder="1" applyAlignment="1">
      <alignment horizontal="left" vertical="center" wrapText="1"/>
    </xf>
    <xf numFmtId="0" fontId="116" fillId="28" borderId="76" xfId="0" applyFont="1" applyFill="1" applyBorder="1" applyAlignment="1">
      <alignment horizontal="left" vertical="center" wrapText="1"/>
    </xf>
    <xf numFmtId="0" fontId="116" fillId="28" borderId="100" xfId="0" applyFont="1" applyFill="1" applyBorder="1" applyAlignment="1">
      <alignment horizontal="left" vertical="center" wrapText="1"/>
    </xf>
    <xf numFmtId="0" fontId="116" fillId="28" borderId="101" xfId="0" applyFont="1" applyFill="1" applyBorder="1" applyAlignment="1">
      <alignment horizontal="left" vertical="center" wrapText="1"/>
    </xf>
    <xf numFmtId="0" fontId="116" fillId="28" borderId="102" xfId="0" applyFont="1" applyFill="1" applyBorder="1" applyAlignment="1">
      <alignment horizontal="left" vertical="center" wrapText="1"/>
    </xf>
    <xf numFmtId="0" fontId="116" fillId="28" borderId="103" xfId="0" applyFont="1" applyFill="1" applyBorder="1" applyAlignment="1">
      <alignment horizontal="left" vertical="center" wrapText="1"/>
    </xf>
    <xf numFmtId="0" fontId="60" fillId="21" borderId="106" xfId="0" applyFont="1" applyFill="1" applyBorder="1" applyAlignment="1">
      <alignment horizontal="center" vertical="center"/>
    </xf>
    <xf numFmtId="0" fontId="60" fillId="21" borderId="98" xfId="0" applyFont="1" applyFill="1" applyBorder="1" applyAlignment="1">
      <alignment horizontal="center" vertical="center"/>
    </xf>
    <xf numFmtId="0" fontId="60" fillId="21" borderId="107" xfId="0" applyFont="1" applyFill="1" applyBorder="1" applyAlignment="1">
      <alignment horizontal="center" vertical="center"/>
    </xf>
    <xf numFmtId="0" fontId="60" fillId="21" borderId="106" xfId="0" applyFont="1" applyFill="1" applyBorder="1" applyAlignment="1">
      <alignment horizontal="center" vertical="center" wrapText="1"/>
    </xf>
    <xf numFmtId="0" fontId="60" fillId="21" borderId="98" xfId="0" applyFont="1" applyFill="1" applyBorder="1" applyAlignment="1">
      <alignment horizontal="center" vertical="center" wrapText="1"/>
    </xf>
    <xf numFmtId="0" fontId="60" fillId="21" borderId="107" xfId="0" applyFont="1" applyFill="1" applyBorder="1" applyAlignment="1">
      <alignment horizontal="center" vertical="center" wrapText="1"/>
    </xf>
    <xf numFmtId="0" fontId="60" fillId="21" borderId="105" xfId="0" applyFont="1" applyFill="1" applyBorder="1" applyAlignment="1">
      <alignment horizontal="center" vertical="center" wrapText="1"/>
    </xf>
    <xf numFmtId="0" fontId="60" fillId="21" borderId="137" xfId="0" applyFont="1" applyFill="1" applyBorder="1" applyAlignment="1">
      <alignment horizontal="center" vertical="center" wrapText="1"/>
    </xf>
    <xf numFmtId="0" fontId="59" fillId="21" borderId="97" xfId="0" applyFont="1" applyFill="1" applyBorder="1" applyAlignment="1">
      <alignment horizontal="center" vertical="center" wrapText="1"/>
    </xf>
    <xf numFmtId="0" fontId="59" fillId="21" borderId="148" xfId="0" applyFont="1" applyFill="1" applyBorder="1" applyAlignment="1">
      <alignment horizontal="center" vertical="center" wrapText="1"/>
    </xf>
    <xf numFmtId="0" fontId="60" fillId="21" borderId="108" xfId="0" applyFont="1" applyFill="1" applyBorder="1" applyAlignment="1">
      <alignment horizontal="center" vertical="center" wrapText="1"/>
    </xf>
    <xf numFmtId="0" fontId="60" fillId="21" borderId="142" xfId="0" applyFont="1" applyFill="1" applyBorder="1" applyAlignment="1">
      <alignment horizontal="center" vertical="center" wrapText="1"/>
    </xf>
    <xf numFmtId="0" fontId="60" fillId="21" borderId="109" xfId="0" applyFont="1" applyFill="1" applyBorder="1" applyAlignment="1">
      <alignment horizontal="center" vertical="center" wrapText="1"/>
    </xf>
    <xf numFmtId="0" fontId="60" fillId="21" borderId="149" xfId="0" applyFont="1" applyFill="1" applyBorder="1" applyAlignment="1">
      <alignment horizontal="center" vertical="center" wrapText="1"/>
    </xf>
    <xf numFmtId="0" fontId="124" fillId="22" borderId="32" xfId="0" applyFont="1" applyFill="1" applyBorder="1" applyAlignment="1">
      <alignment horizontal="center" vertical="center" wrapText="1"/>
    </xf>
    <xf numFmtId="0" fontId="124" fillId="22" borderId="41" xfId="0" applyFont="1" applyFill="1" applyBorder="1" applyAlignment="1">
      <alignment horizontal="center" vertical="center" wrapText="1"/>
    </xf>
    <xf numFmtId="0" fontId="124" fillId="22" borderId="37" xfId="0" applyFont="1" applyFill="1" applyBorder="1" applyAlignment="1">
      <alignment horizontal="center" vertical="center" wrapText="1"/>
    </xf>
    <xf numFmtId="0" fontId="60" fillId="26" borderId="4" xfId="8" applyFont="1" applyFill="1" applyBorder="1" applyAlignment="1">
      <alignment horizontal="center" vertical="center" wrapText="1"/>
    </xf>
    <xf numFmtId="0" fontId="60" fillId="26" borderId="47" xfId="8" applyFont="1" applyFill="1" applyBorder="1" applyAlignment="1">
      <alignment horizontal="center" vertical="center" wrapText="1"/>
    </xf>
    <xf numFmtId="0" fontId="60" fillId="26" borderId="1" xfId="8" applyFont="1" applyFill="1" applyBorder="1" applyAlignment="1">
      <alignment horizontal="center" vertical="center" wrapText="1"/>
    </xf>
    <xf numFmtId="0" fontId="99" fillId="0" borderId="32" xfId="8" applyFont="1" applyFill="1" applyBorder="1" applyAlignment="1">
      <alignment horizontal="left" vertical="center" wrapText="1"/>
    </xf>
    <xf numFmtId="0" fontId="99" fillId="0" borderId="41" xfId="8" applyFont="1" applyFill="1" applyBorder="1" applyAlignment="1">
      <alignment horizontal="left" vertical="center" wrapText="1"/>
    </xf>
    <xf numFmtId="0" fontId="99" fillId="0" borderId="37" xfId="8" applyFont="1" applyFill="1" applyBorder="1" applyAlignment="1">
      <alignment horizontal="left" vertical="center" wrapText="1"/>
    </xf>
    <xf numFmtId="0" fontId="60" fillId="26" borderId="3" xfId="8" applyFont="1" applyFill="1" applyBorder="1" applyAlignment="1">
      <alignment horizontal="center" vertical="center" wrapText="1"/>
    </xf>
    <xf numFmtId="0" fontId="60" fillId="26" borderId="55" xfId="8" applyFont="1" applyFill="1" applyBorder="1" applyAlignment="1">
      <alignment horizontal="center" vertical="center" wrapText="1"/>
    </xf>
    <xf numFmtId="0" fontId="60" fillId="26" borderId="5" xfId="8" applyFont="1" applyFill="1" applyBorder="1" applyAlignment="1">
      <alignment horizontal="center" vertical="center" wrapText="1"/>
    </xf>
    <xf numFmtId="0" fontId="60" fillId="26" borderId="9" xfId="8" applyFont="1" applyFill="1" applyBorder="1" applyAlignment="1">
      <alignment horizontal="center" vertical="center" wrapText="1"/>
    </xf>
    <xf numFmtId="0" fontId="60" fillId="26" borderId="24" xfId="8" applyFont="1" applyFill="1" applyBorder="1" applyAlignment="1">
      <alignment horizontal="center" vertical="center" wrapText="1"/>
    </xf>
    <xf numFmtId="0" fontId="60" fillId="26" borderId="6" xfId="8" applyFont="1" applyFill="1" applyBorder="1" applyAlignment="1">
      <alignment horizontal="center" vertical="center" wrapText="1"/>
    </xf>
    <xf numFmtId="0" fontId="189" fillId="4" borderId="35" xfId="8" applyFont="1" applyFill="1" applyBorder="1" applyAlignment="1">
      <alignment horizontal="center" vertical="center" textRotation="180"/>
    </xf>
    <xf numFmtId="0" fontId="189" fillId="4" borderId="27" xfId="8" applyFont="1" applyFill="1" applyBorder="1" applyAlignment="1">
      <alignment horizontal="center" vertical="center" textRotation="180"/>
    </xf>
    <xf numFmtId="0" fontId="189" fillId="4" borderId="28" xfId="8" applyFont="1" applyFill="1" applyBorder="1" applyAlignment="1">
      <alignment horizontal="center" vertical="center" textRotation="180"/>
    </xf>
    <xf numFmtId="0" fontId="172" fillId="3" borderId="48" xfId="8" applyFont="1" applyFill="1" applyBorder="1" applyAlignment="1">
      <alignment horizontal="center" vertical="center" wrapText="1"/>
    </xf>
    <xf numFmtId="0" fontId="172" fillId="3" borderId="9" xfId="8" applyFont="1" applyFill="1" applyBorder="1" applyAlignment="1">
      <alignment horizontal="center" vertical="center" wrapText="1"/>
    </xf>
    <xf numFmtId="0" fontId="172" fillId="3" borderId="40" xfId="8" applyFont="1" applyFill="1" applyBorder="1" applyAlignment="1">
      <alignment horizontal="center" vertical="center" wrapText="1"/>
    </xf>
    <xf numFmtId="0" fontId="172" fillId="3" borderId="69" xfId="8" applyFont="1" applyFill="1" applyBorder="1" applyAlignment="1">
      <alignment horizontal="center" vertical="center" wrapText="1"/>
    </xf>
    <xf numFmtId="0" fontId="172" fillId="3" borderId="48" xfId="8" applyFont="1" applyFill="1" applyBorder="1" applyAlignment="1">
      <alignment vertical="center" wrapText="1"/>
    </xf>
    <xf numFmtId="0" fontId="171" fillId="0" borderId="40" xfId="0" applyFont="1" applyBorder="1" applyAlignment="1">
      <alignment vertical="center" wrapText="1"/>
    </xf>
    <xf numFmtId="0" fontId="171" fillId="0" borderId="69" xfId="0" applyFont="1" applyBorder="1" applyAlignment="1">
      <alignment vertical="center" wrapText="1"/>
    </xf>
    <xf numFmtId="0" fontId="172" fillId="3" borderId="48" xfId="8" applyFont="1" applyFill="1" applyBorder="1" applyAlignment="1">
      <alignment horizontal="left" vertical="center" wrapText="1"/>
    </xf>
    <xf numFmtId="0" fontId="171" fillId="0" borderId="40" xfId="0" applyFont="1" applyBorder="1" applyAlignment="1">
      <alignment horizontal="left" vertical="center" wrapText="1"/>
    </xf>
    <xf numFmtId="0" fontId="171" fillId="0" borderId="69" xfId="0" applyFont="1" applyBorder="1" applyAlignment="1">
      <alignment horizontal="left" vertical="center" wrapText="1"/>
    </xf>
    <xf numFmtId="0" fontId="172" fillId="3" borderId="23" xfId="8" applyFont="1" applyFill="1" applyBorder="1" applyAlignment="1">
      <alignment horizontal="center" vertical="center" wrapText="1"/>
    </xf>
    <xf numFmtId="0" fontId="172" fillId="3" borderId="54" xfId="8" applyFont="1" applyFill="1" applyBorder="1" applyAlignment="1">
      <alignment horizontal="center" vertical="center" wrapText="1"/>
    </xf>
    <xf numFmtId="0" fontId="172" fillId="3" borderId="61" xfId="8" applyFont="1" applyFill="1" applyBorder="1" applyAlignment="1">
      <alignment horizontal="center" vertical="center" wrapText="1"/>
    </xf>
    <xf numFmtId="0" fontId="172" fillId="3" borderId="70" xfId="8" applyFont="1" applyFill="1" applyBorder="1" applyAlignment="1">
      <alignment horizontal="center" vertical="center" wrapText="1"/>
    </xf>
    <xf numFmtId="0" fontId="184" fillId="12" borderId="186" xfId="8" applyFont="1" applyFill="1" applyBorder="1" applyAlignment="1">
      <alignment horizontal="center" vertical="center" wrapText="1"/>
    </xf>
    <xf numFmtId="0" fontId="184" fillId="12" borderId="187" xfId="8" applyFont="1" applyFill="1" applyBorder="1" applyAlignment="1">
      <alignment horizontal="center" vertical="center" wrapText="1"/>
    </xf>
    <xf numFmtId="0" fontId="184" fillId="12" borderId="188" xfId="8" applyFont="1" applyFill="1" applyBorder="1" applyAlignment="1">
      <alignment horizontal="center" vertical="center" wrapText="1"/>
    </xf>
    <xf numFmtId="0" fontId="184" fillId="12" borderId="8" xfId="8" applyFont="1" applyFill="1" applyBorder="1" applyAlignment="1">
      <alignment horizontal="center" vertical="center" wrapText="1"/>
    </xf>
    <xf numFmtId="0" fontId="184" fillId="12" borderId="11" xfId="8" applyFont="1" applyFill="1" applyBorder="1" applyAlignment="1">
      <alignment horizontal="center" vertical="center" wrapText="1"/>
    </xf>
    <xf numFmtId="0" fontId="172" fillId="3" borderId="47" xfId="8" applyFont="1" applyFill="1" applyBorder="1" applyAlignment="1">
      <alignment horizontal="left" vertical="center" wrapText="1"/>
    </xf>
    <xf numFmtId="0" fontId="172" fillId="3" borderId="6" xfId="8" applyFont="1" applyFill="1" applyBorder="1" applyAlignment="1">
      <alignment horizontal="left" vertical="center" wrapText="1"/>
    </xf>
    <xf numFmtId="0" fontId="124" fillId="22" borderId="34" xfId="0" applyFont="1" applyFill="1" applyBorder="1" applyAlignment="1">
      <alignment horizontal="center" vertical="center" wrapText="1"/>
    </xf>
    <xf numFmtId="0" fontId="124" fillId="22" borderId="20" xfId="0" applyFont="1" applyFill="1" applyBorder="1" applyAlignment="1">
      <alignment horizontal="center" vertical="center" wrapText="1"/>
    </xf>
    <xf numFmtId="0" fontId="171" fillId="3" borderId="1" xfId="8" applyFont="1" applyFill="1" applyBorder="1" applyAlignment="1">
      <alignment horizontal="center" vertical="top" wrapText="1"/>
    </xf>
    <xf numFmtId="0" fontId="171" fillId="3" borderId="7" xfId="8" applyFont="1" applyFill="1" applyBorder="1" applyAlignment="1">
      <alignment horizontal="center" vertical="top" wrapText="1"/>
    </xf>
    <xf numFmtId="0" fontId="171" fillId="3" borderId="10" xfId="8" applyFont="1" applyFill="1" applyBorder="1" applyAlignment="1"/>
    <xf numFmtId="0" fontId="171" fillId="3" borderId="8" xfId="8" applyFont="1" applyFill="1" applyBorder="1" applyAlignment="1"/>
    <xf numFmtId="0" fontId="171" fillId="3" borderId="13" xfId="8" applyFont="1" applyFill="1" applyBorder="1" applyAlignment="1"/>
    <xf numFmtId="0" fontId="171" fillId="3" borderId="141" xfId="8" applyFont="1" applyFill="1" applyBorder="1" applyAlignment="1"/>
    <xf numFmtId="0" fontId="171" fillId="3" borderId="138" xfId="8" applyFont="1" applyFill="1" applyBorder="1" applyAlignment="1"/>
    <xf numFmtId="0" fontId="171" fillId="3" borderId="137" xfId="8" applyFont="1" applyFill="1" applyBorder="1" applyAlignment="1"/>
    <xf numFmtId="0" fontId="172" fillId="31" borderId="47" xfId="8" applyFont="1" applyFill="1" applyBorder="1" applyAlignment="1">
      <alignment horizontal="center" vertical="center" wrapText="1"/>
    </xf>
    <xf numFmtId="0" fontId="172" fillId="31" borderId="138" xfId="8" applyFont="1" applyFill="1" applyBorder="1" applyAlignment="1">
      <alignment horizontal="center" vertical="center" wrapText="1"/>
    </xf>
    <xf numFmtId="0" fontId="171" fillId="3" borderId="47" xfId="8" applyFont="1" applyFill="1" applyBorder="1" applyAlignment="1">
      <alignment horizontal="center" vertical="top" wrapText="1"/>
    </xf>
    <xf numFmtId="0" fontId="171" fillId="3" borderId="6" xfId="8" applyFont="1" applyFill="1" applyBorder="1" applyAlignment="1">
      <alignment horizontal="center" vertical="top" wrapText="1"/>
    </xf>
    <xf numFmtId="0" fontId="171" fillId="0" borderId="47" xfId="0" applyFont="1" applyBorder="1" applyAlignment="1">
      <alignment horizontal="center" vertical="top" wrapText="1"/>
    </xf>
    <xf numFmtId="0" fontId="171" fillId="0" borderId="6" xfId="0" applyFont="1" applyBorder="1" applyAlignment="1">
      <alignment horizontal="center" vertical="top" wrapText="1"/>
    </xf>
    <xf numFmtId="0" fontId="172" fillId="3" borderId="111" xfId="8" applyFont="1" applyFill="1" applyBorder="1" applyAlignment="1">
      <alignment horizontal="center" vertical="center" wrapText="1"/>
    </xf>
    <xf numFmtId="0" fontId="172" fillId="3" borderId="112" xfId="8" applyFont="1" applyFill="1" applyBorder="1" applyAlignment="1">
      <alignment horizontal="center" vertical="center" wrapText="1"/>
    </xf>
    <xf numFmtId="0" fontId="191" fillId="2" borderId="138" xfId="8" applyFont="1" applyFill="1" applyBorder="1"/>
    <xf numFmtId="0" fontId="191" fillId="2" borderId="137" xfId="8" applyFont="1" applyFill="1" applyBorder="1"/>
    <xf numFmtId="0" fontId="171" fillId="2" borderId="4" xfId="8" applyFont="1" applyFill="1" applyBorder="1" applyAlignment="1">
      <alignment horizontal="left" wrapText="1"/>
    </xf>
    <xf numFmtId="0" fontId="171" fillId="2" borderId="24" xfId="8" applyFont="1" applyFill="1" applyBorder="1" applyAlignment="1">
      <alignment horizontal="left" wrapText="1"/>
    </xf>
    <xf numFmtId="0" fontId="171" fillId="3" borderId="1" xfId="8" applyFont="1" applyFill="1" applyBorder="1" applyAlignment="1">
      <alignment horizontal="left" wrapText="1"/>
    </xf>
    <xf numFmtId="0" fontId="171" fillId="3" borderId="1" xfId="8" applyFont="1" applyFill="1" applyBorder="1" applyAlignment="1">
      <alignment horizontal="left"/>
    </xf>
    <xf numFmtId="0" fontId="171" fillId="3" borderId="7" xfId="8" applyFont="1" applyFill="1" applyBorder="1" applyAlignment="1">
      <alignment horizontal="left"/>
    </xf>
    <xf numFmtId="0" fontId="184" fillId="3" borderId="47" xfId="8" applyFont="1" applyFill="1" applyBorder="1" applyAlignment="1">
      <alignment horizontal="center" vertical="center"/>
    </xf>
    <xf numFmtId="0" fontId="184" fillId="3" borderId="6" xfId="8" applyFont="1" applyFill="1" applyBorder="1" applyAlignment="1">
      <alignment horizontal="center" vertical="center"/>
    </xf>
    <xf numFmtId="0" fontId="171" fillId="3" borderId="4" xfId="8" applyFont="1" applyFill="1" applyBorder="1" applyAlignment="1">
      <alignment horizontal="center" wrapText="1"/>
    </xf>
    <xf numFmtId="0" fontId="171" fillId="3" borderId="4" xfId="0" applyFont="1" applyFill="1" applyBorder="1" applyAlignment="1">
      <alignment horizontal="center" wrapText="1"/>
    </xf>
    <xf numFmtId="0" fontId="171" fillId="3" borderId="24" xfId="0" applyFont="1" applyFill="1" applyBorder="1" applyAlignment="1">
      <alignment horizontal="center" wrapText="1"/>
    </xf>
    <xf numFmtId="0" fontId="171" fillId="3" borderId="47" xfId="0" applyFont="1" applyFill="1" applyBorder="1" applyAlignment="1">
      <alignment horizontal="center" vertical="top" wrapText="1"/>
    </xf>
    <xf numFmtId="0" fontId="171" fillId="3" borderId="6" xfId="0" applyFont="1" applyFill="1" applyBorder="1" applyAlignment="1">
      <alignment horizontal="center" vertical="top" wrapText="1"/>
    </xf>
    <xf numFmtId="0" fontId="171" fillId="3" borderId="47" xfId="8" applyFont="1" applyFill="1" applyBorder="1" applyAlignment="1">
      <alignment vertical="center" wrapText="1"/>
    </xf>
    <xf numFmtId="0" fontId="171" fillId="3" borderId="47" xfId="0" applyFont="1" applyFill="1" applyBorder="1" applyAlignment="1">
      <alignment wrapText="1"/>
    </xf>
    <xf numFmtId="0" fontId="171" fillId="3" borderId="6" xfId="0" applyFont="1" applyFill="1" applyBorder="1" applyAlignment="1">
      <alignment wrapText="1"/>
    </xf>
    <xf numFmtId="0" fontId="184" fillId="3" borderId="3" xfId="8" applyFont="1" applyFill="1" applyBorder="1" applyAlignment="1">
      <alignment horizontal="center" vertical="center" wrapText="1"/>
    </xf>
    <xf numFmtId="0" fontId="184" fillId="3" borderId="4" xfId="8" applyFont="1" applyFill="1" applyBorder="1" applyAlignment="1">
      <alignment horizontal="center" vertical="center" wrapText="1"/>
    </xf>
    <xf numFmtId="0" fontId="184" fillId="3" borderId="24" xfId="8" applyFont="1" applyFill="1" applyBorder="1" applyAlignment="1">
      <alignment horizontal="center" vertical="center" wrapText="1"/>
    </xf>
    <xf numFmtId="0" fontId="184" fillId="3" borderId="32" xfId="8" applyFont="1" applyFill="1" applyBorder="1" applyAlignment="1">
      <alignment horizontal="center" vertical="top" wrapText="1"/>
    </xf>
    <xf numFmtId="0" fontId="184" fillId="3" borderId="41" xfId="8" applyFont="1" applyFill="1" applyBorder="1" applyAlignment="1">
      <alignment horizontal="center" vertical="top" wrapText="1"/>
    </xf>
    <xf numFmtId="0" fontId="184" fillId="3" borderId="37" xfId="8" applyFont="1" applyFill="1" applyBorder="1" applyAlignment="1">
      <alignment horizontal="center" vertical="top" wrapText="1"/>
    </xf>
    <xf numFmtId="0" fontId="171" fillId="0" borderId="23" xfId="8" applyFont="1" applyBorder="1" applyAlignment="1">
      <alignment horizontal="center"/>
    </xf>
    <xf numFmtId="0" fontId="171" fillId="0" borderId="54" xfId="8" applyFont="1" applyBorder="1" applyAlignment="1">
      <alignment horizontal="center"/>
    </xf>
    <xf numFmtId="0" fontId="175" fillId="3" borderId="47" xfId="8" applyFont="1" applyFill="1" applyBorder="1" applyAlignment="1">
      <alignment horizontal="center" vertical="center" wrapText="1"/>
    </xf>
    <xf numFmtId="0" fontId="175" fillId="3" borderId="138" xfId="8" applyFont="1" applyFill="1" applyBorder="1" applyAlignment="1">
      <alignment horizontal="center" vertical="center" wrapText="1"/>
    </xf>
    <xf numFmtId="0" fontId="175" fillId="3" borderId="8" xfId="8" applyFont="1" applyFill="1" applyBorder="1" applyAlignment="1">
      <alignment horizontal="center" vertical="center" wrapText="1"/>
    </xf>
    <xf numFmtId="0" fontId="187" fillId="3" borderId="34" xfId="8" applyFont="1" applyFill="1" applyBorder="1" applyAlignment="1">
      <alignment horizontal="center" vertical="center" wrapText="1"/>
    </xf>
    <xf numFmtId="0" fontId="187" fillId="3" borderId="44" xfId="8" applyFont="1" applyFill="1" applyBorder="1" applyAlignment="1">
      <alignment horizontal="center" vertical="center" wrapText="1"/>
    </xf>
    <xf numFmtId="0" fontId="66" fillId="3" borderId="47" xfId="8" applyFont="1" applyFill="1" applyBorder="1" applyAlignment="1">
      <alignment horizontal="center" vertical="center" wrapText="1"/>
    </xf>
    <xf numFmtId="0" fontId="66" fillId="3" borderId="137" xfId="8" applyFont="1" applyFill="1" applyBorder="1" applyAlignment="1">
      <alignment horizontal="center" vertical="center" wrapText="1"/>
    </xf>
    <xf numFmtId="0" fontId="66" fillId="3" borderId="141" xfId="8" applyFont="1" applyFill="1" applyBorder="1" applyAlignment="1">
      <alignment horizontal="center" vertical="center" wrapText="1"/>
    </xf>
    <xf numFmtId="0" fontId="133" fillId="36" borderId="32" xfId="8" applyFont="1" applyFill="1" applyBorder="1" applyAlignment="1">
      <alignment horizontal="center" vertical="center" wrapText="1"/>
    </xf>
    <xf numFmtId="0" fontId="133" fillId="36" borderId="37" xfId="8" applyFont="1" applyFill="1" applyBorder="1" applyAlignment="1">
      <alignment horizontal="center" vertical="center" wrapText="1"/>
    </xf>
    <xf numFmtId="0" fontId="134" fillId="31" borderId="29" xfId="0" applyFont="1" applyFill="1" applyBorder="1" applyAlignment="1">
      <alignment horizontal="center" vertical="center" textRotation="90" wrapText="1"/>
    </xf>
    <xf numFmtId="0" fontId="134" fillId="31" borderId="36" xfId="0" applyFont="1" applyFill="1" applyBorder="1" applyAlignment="1">
      <alignment horizontal="center" vertical="center" textRotation="90" wrapText="1"/>
    </xf>
    <xf numFmtId="0" fontId="134" fillId="31" borderId="25" xfId="0" applyFont="1" applyFill="1" applyBorder="1" applyAlignment="1">
      <alignment horizontal="center" vertical="center" textRotation="90" wrapText="1"/>
    </xf>
    <xf numFmtId="0" fontId="134" fillId="31" borderId="42" xfId="0" applyFont="1" applyFill="1" applyBorder="1" applyAlignment="1">
      <alignment horizontal="center" vertical="center" textRotation="90" wrapText="1"/>
    </xf>
    <xf numFmtId="0" fontId="131" fillId="26" borderId="32" xfId="8" applyFont="1" applyFill="1" applyBorder="1" applyAlignment="1">
      <alignment horizontal="center" vertical="center" wrapText="1"/>
    </xf>
    <xf numFmtId="0" fontId="131" fillId="26" borderId="113" xfId="8" applyFont="1" applyFill="1" applyBorder="1" applyAlignment="1">
      <alignment horizontal="center" vertical="center" wrapText="1"/>
    </xf>
    <xf numFmtId="0" fontId="174" fillId="2" borderId="33" xfId="0" applyFont="1" applyFill="1" applyBorder="1" applyAlignment="1">
      <alignment horizontal="center" wrapText="1"/>
    </xf>
    <xf numFmtId="0" fontId="171" fillId="2" borderId="111" xfId="0" applyFont="1" applyFill="1" applyBorder="1" applyAlignment="1">
      <alignment horizontal="center"/>
    </xf>
    <xf numFmtId="0" fontId="175" fillId="3" borderId="144" xfId="0" applyFont="1" applyFill="1" applyBorder="1" applyAlignment="1">
      <alignment horizontal="center" vertical="center" wrapText="1"/>
    </xf>
    <xf numFmtId="0" fontId="175" fillId="0" borderId="37" xfId="0" applyFont="1" applyBorder="1" applyAlignment="1">
      <alignment horizontal="center" vertical="center" wrapText="1"/>
    </xf>
    <xf numFmtId="0" fontId="131" fillId="26" borderId="111" xfId="8" applyFont="1" applyFill="1" applyBorder="1" applyAlignment="1">
      <alignment horizontal="center" vertical="center" wrapText="1"/>
    </xf>
    <xf numFmtId="0" fontId="131" fillId="26" borderId="112" xfId="8" applyFont="1" applyFill="1" applyBorder="1" applyAlignment="1">
      <alignment horizontal="center" vertical="center" wrapText="1"/>
    </xf>
    <xf numFmtId="0" fontId="175" fillId="3" borderId="47" xfId="0" applyFont="1" applyFill="1" applyBorder="1" applyAlignment="1">
      <alignment horizontal="center" vertical="center" wrapText="1"/>
    </xf>
    <xf numFmtId="0" fontId="175" fillId="3" borderId="3" xfId="0" applyFont="1" applyFill="1" applyBorder="1" applyAlignment="1">
      <alignment horizontal="center" vertical="center" wrapText="1"/>
    </xf>
    <xf numFmtId="0" fontId="175" fillId="3" borderId="2" xfId="0" applyFont="1" applyFill="1" applyBorder="1" applyAlignment="1">
      <alignment horizontal="center" vertical="center" wrapText="1"/>
    </xf>
    <xf numFmtId="0" fontId="175" fillId="3" borderId="4" xfId="0" applyFont="1" applyFill="1" applyBorder="1" applyAlignment="1">
      <alignment horizontal="center" vertical="center" wrapText="1"/>
    </xf>
    <xf numFmtId="0" fontId="175" fillId="3" borderId="1" xfId="0" applyFont="1" applyFill="1" applyBorder="1" applyAlignment="1">
      <alignment horizontal="center" vertical="center" wrapText="1"/>
    </xf>
    <xf numFmtId="0" fontId="175" fillId="3" borderId="24" xfId="0" applyFont="1" applyFill="1" applyBorder="1" applyAlignment="1">
      <alignment vertical="center" wrapText="1"/>
    </xf>
    <xf numFmtId="0" fontId="175" fillId="3" borderId="7" xfId="0" applyFont="1" applyFill="1" applyBorder="1" applyAlignment="1">
      <alignment vertical="center" wrapText="1"/>
    </xf>
    <xf numFmtId="0" fontId="175" fillId="3" borderId="34" xfId="0" applyFont="1" applyFill="1" applyBorder="1" applyAlignment="1">
      <alignment horizontal="center" vertical="center" wrapText="1"/>
    </xf>
    <xf numFmtId="0" fontId="175" fillId="0" borderId="35" xfId="0" applyFont="1" applyBorder="1" applyAlignment="1">
      <alignment horizontal="center" vertical="center" wrapText="1"/>
    </xf>
    <xf numFmtId="0" fontId="175" fillId="0" borderId="36" xfId="0" applyFont="1" applyBorder="1" applyAlignment="1">
      <alignment horizontal="center" vertical="center" wrapText="1"/>
    </xf>
    <xf numFmtId="0" fontId="175" fillId="0" borderId="27" xfId="0" applyFont="1" applyBorder="1" applyAlignment="1">
      <alignment horizontal="center" vertical="center" wrapText="1"/>
    </xf>
    <xf numFmtId="0" fontId="175" fillId="0" borderId="42" xfId="0" applyFont="1" applyBorder="1" applyAlignment="1">
      <alignment horizontal="center" vertical="center" wrapText="1"/>
    </xf>
    <xf numFmtId="0" fontId="175" fillId="0" borderId="28" xfId="0" applyFont="1" applyBorder="1" applyAlignment="1">
      <alignment horizontal="center" vertical="center" wrapText="1"/>
    </xf>
    <xf numFmtId="0" fontId="133" fillId="36" borderId="36" xfId="8" applyFont="1" applyFill="1" applyBorder="1" applyAlignment="1">
      <alignment horizontal="center" vertical="center" wrapText="1"/>
    </xf>
    <xf numFmtId="0" fontId="133" fillId="36" borderId="46" xfId="8" applyFont="1" applyFill="1" applyBorder="1" applyAlignment="1">
      <alignment horizontal="center" vertical="center" wrapText="1"/>
    </xf>
    <xf numFmtId="0" fontId="175" fillId="3" borderId="33" xfId="0" applyFont="1" applyFill="1" applyBorder="1" applyAlignment="1">
      <alignment horizontal="center" vertical="center" wrapText="1"/>
    </xf>
    <xf numFmtId="0" fontId="175" fillId="3" borderId="111" xfId="0" applyFont="1" applyFill="1" applyBorder="1" applyAlignment="1">
      <alignment horizontal="center" vertical="center" wrapText="1"/>
    </xf>
    <xf numFmtId="0" fontId="198" fillId="0" borderId="138" xfId="0" applyFont="1" applyBorder="1" applyAlignment="1">
      <alignment horizontal="center" vertical="top" wrapText="1"/>
    </xf>
    <xf numFmtId="0" fontId="198" fillId="0" borderId="30" xfId="0" applyFont="1" applyBorder="1" applyAlignment="1">
      <alignment horizontal="center" vertical="top" wrapText="1"/>
    </xf>
    <xf numFmtId="0" fontId="198" fillId="0" borderId="8" xfId="0" applyFont="1" applyBorder="1" applyAlignment="1">
      <alignment horizontal="center" vertical="top" wrapText="1"/>
    </xf>
    <xf numFmtId="0" fontId="81" fillId="3" borderId="47" xfId="21" applyFont="1" applyFill="1" applyBorder="1" applyAlignment="1">
      <alignment vertical="top" wrapText="1"/>
    </xf>
    <xf numFmtId="0" fontId="81" fillId="3" borderId="138" xfId="21" applyFont="1" applyFill="1" applyBorder="1" applyAlignment="1">
      <alignment horizontal="left" vertical="top" wrapText="1"/>
    </xf>
    <xf numFmtId="0" fontId="81" fillId="3" borderId="8" xfId="21" applyFont="1" applyFill="1" applyBorder="1" applyAlignment="1">
      <alignment horizontal="left" vertical="top" wrapText="1"/>
    </xf>
    <xf numFmtId="0" fontId="81" fillId="3" borderId="47" xfId="21" applyFont="1" applyFill="1" applyBorder="1" applyAlignment="1">
      <alignment horizontal="left" vertical="top" wrapText="1"/>
    </xf>
    <xf numFmtId="0" fontId="172" fillId="3" borderId="47" xfId="21" applyFont="1" applyFill="1" applyBorder="1" applyAlignment="1">
      <alignment vertical="top" wrapText="1"/>
    </xf>
    <xf numFmtId="0" fontId="172" fillId="3" borderId="47" xfId="21" applyFont="1" applyFill="1" applyBorder="1" applyAlignment="1">
      <alignment horizontal="left" vertical="top" wrapText="1"/>
    </xf>
    <xf numFmtId="0" fontId="81" fillId="3" borderId="47" xfId="21" applyFont="1" applyFill="1" applyBorder="1" applyAlignment="1">
      <alignment horizontal="left" wrapText="1"/>
    </xf>
    <xf numFmtId="0" fontId="172" fillId="3" borderId="47" xfId="21" applyFont="1" applyFill="1" applyBorder="1" applyAlignment="1">
      <alignment vertical="center" wrapText="1"/>
    </xf>
    <xf numFmtId="0" fontId="172" fillId="3" borderId="138" xfId="21" applyFont="1" applyFill="1" applyBorder="1" applyAlignment="1">
      <alignment horizontal="left" vertical="top" wrapText="1"/>
    </xf>
    <xf numFmtId="0" fontId="172" fillId="3" borderId="8" xfId="21" applyFont="1" applyFill="1" applyBorder="1" applyAlignment="1">
      <alignment horizontal="left" vertical="top" wrapText="1"/>
    </xf>
    <xf numFmtId="0" fontId="172" fillId="3" borderId="47" xfId="21" applyFont="1" applyFill="1" applyBorder="1" applyAlignment="1">
      <alignment horizontal="left" wrapText="1"/>
    </xf>
    <xf numFmtId="0" fontId="81" fillId="3" borderId="47" xfId="21" applyFont="1" applyFill="1" applyBorder="1" applyAlignment="1">
      <alignment vertical="center" wrapText="1"/>
    </xf>
    <xf numFmtId="0" fontId="70" fillId="26" borderId="137" xfId="21" applyFont="1" applyFill="1" applyBorder="1" applyAlignment="1">
      <alignment horizontal="center" vertical="center" wrapText="1"/>
    </xf>
    <xf numFmtId="0" fontId="70" fillId="26" borderId="141" xfId="21" applyFont="1" applyFill="1" applyBorder="1" applyAlignment="1">
      <alignment horizontal="center" vertical="center" wrapText="1"/>
    </xf>
    <xf numFmtId="0" fontId="70" fillId="16" borderId="47" xfId="21" applyFont="1" applyFill="1" applyBorder="1" applyAlignment="1">
      <alignment horizontal="center" wrapText="1"/>
    </xf>
    <xf numFmtId="0" fontId="70" fillId="29" borderId="47" xfId="21" applyFont="1" applyFill="1" applyBorder="1" applyAlignment="1">
      <alignment horizontal="center" wrapText="1"/>
    </xf>
    <xf numFmtId="0" fontId="70" fillId="26" borderId="47" xfId="21" applyFont="1" applyFill="1" applyBorder="1" applyAlignment="1">
      <alignment horizontal="center" wrapText="1"/>
    </xf>
    <xf numFmtId="0" fontId="176" fillId="0" borderId="47" xfId="21" applyFont="1" applyFill="1" applyBorder="1" applyAlignment="1">
      <alignment horizontal="center" wrapText="1"/>
    </xf>
    <xf numFmtId="0" fontId="176" fillId="27" borderId="47" xfId="21" applyFont="1" applyFill="1" applyBorder="1" applyAlignment="1">
      <alignment horizontal="center" wrapText="1"/>
    </xf>
    <xf numFmtId="0" fontId="70" fillId="3" borderId="19" xfId="21" applyFont="1" applyFill="1" applyBorder="1" applyAlignment="1">
      <alignment horizontal="center" vertical="center" wrapText="1"/>
    </xf>
    <xf numFmtId="0" fontId="70" fillId="3" borderId="46" xfId="21" applyFont="1" applyFill="1" applyBorder="1" applyAlignment="1">
      <alignment horizontal="center" vertical="center" wrapText="1"/>
    </xf>
    <xf numFmtId="0" fontId="70" fillId="3" borderId="13" xfId="21" applyFont="1" applyFill="1" applyBorder="1" applyAlignment="1">
      <alignment horizontal="center" vertical="center" wrapText="1"/>
    </xf>
    <xf numFmtId="0" fontId="70" fillId="3" borderId="10" xfId="21" applyFont="1" applyFill="1" applyBorder="1" applyAlignment="1">
      <alignment horizontal="center" vertical="center" wrapText="1"/>
    </xf>
    <xf numFmtId="0" fontId="82" fillId="24" borderId="0" xfId="21" applyFont="1" applyFill="1" applyBorder="1" applyAlignment="1">
      <alignment horizontal="left" vertical="top" wrapText="1"/>
    </xf>
    <xf numFmtId="0" fontId="70" fillId="25" borderId="51" xfId="21" applyFont="1" applyFill="1" applyBorder="1" applyAlignment="1">
      <alignment horizontal="center" wrapText="1"/>
    </xf>
    <xf numFmtId="0" fontId="70" fillId="25" borderId="55" xfId="21" applyFont="1" applyFill="1" applyBorder="1" applyAlignment="1">
      <alignment horizontal="center" wrapText="1"/>
    </xf>
    <xf numFmtId="0" fontId="70" fillId="25" borderId="47" xfId="21" applyFont="1" applyFill="1" applyBorder="1" applyAlignment="1">
      <alignment horizontal="center" wrapText="1"/>
    </xf>
    <xf numFmtId="0" fontId="60" fillId="0" borderId="42" xfId="0" applyFont="1" applyFill="1" applyBorder="1" applyAlignment="1">
      <alignment horizontal="center" vertical="center" wrapText="1"/>
    </xf>
    <xf numFmtId="0" fontId="60" fillId="0" borderId="17"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60" fillId="3" borderId="0" xfId="0" applyFont="1" applyFill="1" applyBorder="1" applyAlignment="1">
      <alignment horizontal="center" vertical="center" wrapText="1"/>
    </xf>
    <xf numFmtId="0" fontId="59" fillId="3" borderId="0" xfId="0" applyFont="1" applyFill="1" applyBorder="1" applyAlignment="1">
      <alignment horizontal="center" vertical="center" wrapText="1"/>
    </xf>
    <xf numFmtId="0" fontId="77" fillId="0" borderId="32" xfId="0" applyFont="1" applyBorder="1" applyAlignment="1">
      <alignment horizontal="center" vertical="center" wrapText="1"/>
    </xf>
    <xf numFmtId="0" fontId="77" fillId="0" borderId="41" xfId="0" applyFont="1" applyBorder="1" applyAlignment="1">
      <alignment horizontal="center" vertical="center" wrapText="1"/>
    </xf>
    <xf numFmtId="0" fontId="77" fillId="0" borderId="37" xfId="0" applyFont="1" applyBorder="1" applyAlignment="1">
      <alignment horizontal="center" vertical="center" wrapText="1"/>
    </xf>
    <xf numFmtId="0" fontId="59" fillId="0" borderId="135" xfId="0" applyFont="1" applyFill="1" applyBorder="1" applyAlignment="1">
      <alignment horizontal="center" vertical="center" wrapText="1"/>
    </xf>
    <xf numFmtId="0" fontId="59" fillId="0" borderId="136" xfId="0" applyFont="1" applyFill="1" applyBorder="1" applyAlignment="1">
      <alignment horizontal="center" vertical="center" wrapText="1"/>
    </xf>
    <xf numFmtId="0" fontId="70" fillId="0" borderId="8" xfId="0" applyFont="1" applyFill="1" applyBorder="1" applyAlignment="1">
      <alignment horizontal="center" vertical="center" wrapText="1"/>
    </xf>
    <xf numFmtId="0" fontId="172" fillId="31" borderId="3" xfId="0" applyFont="1" applyFill="1" applyBorder="1" applyAlignment="1">
      <alignment horizontal="center" vertical="center" wrapText="1"/>
    </xf>
    <xf numFmtId="0" fontId="172" fillId="31" borderId="5" xfId="0" applyFont="1" applyFill="1" applyBorder="1" applyAlignment="1">
      <alignment horizontal="center" vertical="center" wrapText="1"/>
    </xf>
    <xf numFmtId="0" fontId="172" fillId="31" borderId="4" xfId="0" applyFont="1" applyFill="1" applyBorder="1" applyAlignment="1">
      <alignment horizontal="center" vertical="center" wrapText="1"/>
    </xf>
    <xf numFmtId="0" fontId="172" fillId="31" borderId="47" xfId="0" applyFont="1" applyFill="1" applyBorder="1" applyAlignment="1">
      <alignment horizontal="center" vertical="center" wrapText="1"/>
    </xf>
    <xf numFmtId="0" fontId="124" fillId="22" borderId="36" xfId="0" applyFont="1" applyFill="1" applyBorder="1" applyAlignment="1">
      <alignment horizontal="center" vertical="center" wrapText="1"/>
    </xf>
    <xf numFmtId="0" fontId="124" fillId="22" borderId="0" xfId="0" applyFont="1" applyFill="1" applyBorder="1" applyAlignment="1">
      <alignment horizontal="center" vertical="center" wrapText="1"/>
    </xf>
    <xf numFmtId="0" fontId="124" fillId="22" borderId="27" xfId="0" applyFont="1" applyFill="1" applyBorder="1" applyAlignment="1">
      <alignment horizontal="center" vertical="center" wrapText="1"/>
    </xf>
    <xf numFmtId="0" fontId="172" fillId="31" borderId="24" xfId="0" applyFont="1" applyFill="1" applyBorder="1" applyAlignment="1">
      <alignment horizontal="center" vertical="center" wrapText="1"/>
    </xf>
    <xf numFmtId="0" fontId="172" fillId="31" borderId="6" xfId="0" applyFont="1" applyFill="1" applyBorder="1" applyAlignment="1">
      <alignment horizontal="center" vertical="center" wrapText="1"/>
    </xf>
    <xf numFmtId="0" fontId="199" fillId="0" borderId="19" xfId="2" applyFont="1" applyBorder="1" applyAlignment="1">
      <alignment horizontal="left" vertical="center"/>
    </xf>
    <xf numFmtId="0" fontId="199" fillId="0" borderId="0" xfId="2" applyFont="1" applyBorder="1" applyAlignment="1">
      <alignment horizontal="left" vertical="center"/>
    </xf>
    <xf numFmtId="0" fontId="46" fillId="0" borderId="15" xfId="8" applyFont="1" applyFill="1" applyBorder="1" applyAlignment="1">
      <alignment horizontal="center" vertical="center" wrapText="1"/>
    </xf>
    <xf numFmtId="0" fontId="46" fillId="0" borderId="30" xfId="8" applyFont="1" applyFill="1" applyBorder="1" applyAlignment="1">
      <alignment horizontal="center" vertical="center" wrapText="1"/>
    </xf>
    <xf numFmtId="0" fontId="46" fillId="0" borderId="8" xfId="8" applyFont="1" applyFill="1" applyBorder="1" applyAlignment="1">
      <alignment horizontal="center" vertical="center" wrapText="1"/>
    </xf>
    <xf numFmtId="0" fontId="200" fillId="37" borderId="138" xfId="0" applyFont="1" applyFill="1" applyBorder="1" applyAlignment="1">
      <alignment horizontal="center" vertical="center" wrapText="1" readingOrder="1"/>
    </xf>
    <xf numFmtId="0" fontId="200" fillId="37" borderId="30" xfId="0" applyFont="1" applyFill="1" applyBorder="1" applyAlignment="1">
      <alignment horizontal="center" vertical="center" wrapText="1" readingOrder="1"/>
    </xf>
    <xf numFmtId="0" fontId="200" fillId="37" borderId="8" xfId="0" applyFont="1" applyFill="1" applyBorder="1" applyAlignment="1">
      <alignment horizontal="center" vertical="center" wrapText="1" readingOrder="1"/>
    </xf>
    <xf numFmtId="0" fontId="139" fillId="22" borderId="32" xfId="8" applyFont="1" applyFill="1" applyBorder="1" applyAlignment="1">
      <alignment horizontal="center" vertical="center" wrapText="1"/>
    </xf>
    <xf numFmtId="0" fontId="139" fillId="22" borderId="41" xfId="8" applyFont="1" applyFill="1" applyBorder="1" applyAlignment="1">
      <alignment horizontal="center" vertical="center" wrapText="1"/>
    </xf>
    <xf numFmtId="0" fontId="139" fillId="22" borderId="37" xfId="8" applyFont="1" applyFill="1" applyBorder="1" applyAlignment="1">
      <alignment horizontal="center" vertical="center" wrapText="1"/>
    </xf>
    <xf numFmtId="0" fontId="88" fillId="31" borderId="34" xfId="8" applyFont="1" applyFill="1" applyBorder="1" applyAlignment="1">
      <alignment horizontal="center" vertical="center"/>
    </xf>
    <xf numFmtId="0" fontId="88" fillId="31" borderId="35" xfId="8" applyFont="1" applyFill="1" applyBorder="1" applyAlignment="1">
      <alignment horizontal="center" vertical="center"/>
    </xf>
    <xf numFmtId="0" fontId="88" fillId="31" borderId="36" xfId="8" applyFont="1" applyFill="1" applyBorder="1" applyAlignment="1">
      <alignment horizontal="center" vertical="center"/>
    </xf>
    <xf numFmtId="0" fontId="88" fillId="31" borderId="27" xfId="8" applyFont="1" applyFill="1" applyBorder="1" applyAlignment="1">
      <alignment horizontal="center" vertical="center"/>
    </xf>
    <xf numFmtId="0" fontId="88" fillId="31" borderId="42" xfId="8" applyFont="1" applyFill="1" applyBorder="1" applyAlignment="1">
      <alignment horizontal="center" vertical="center"/>
    </xf>
    <xf numFmtId="0" fontId="88" fillId="31" borderId="28" xfId="8" applyFont="1" applyFill="1" applyBorder="1" applyAlignment="1">
      <alignment horizontal="center" vertical="center"/>
    </xf>
    <xf numFmtId="0" fontId="85" fillId="3" borderId="22" xfId="8" applyFont="1" applyFill="1" applyBorder="1" applyAlignment="1">
      <alignment horizontal="center" vertical="center" wrapText="1"/>
    </xf>
    <xf numFmtId="0" fontId="85" fillId="3" borderId="46" xfId="8" applyFont="1" applyFill="1" applyBorder="1" applyAlignment="1">
      <alignment horizontal="center" vertical="center" wrapText="1"/>
    </xf>
    <xf numFmtId="0" fontId="85" fillId="3" borderId="10" xfId="8" applyFont="1" applyFill="1" applyBorder="1" applyAlignment="1">
      <alignment horizontal="center" vertical="center" wrapText="1"/>
    </xf>
    <xf numFmtId="0" fontId="60" fillId="27" borderId="3" xfId="8" applyFont="1" applyFill="1" applyBorder="1" applyAlignment="1">
      <alignment horizontal="center" vertical="center" wrapText="1"/>
    </xf>
    <xf numFmtId="0" fontId="60" fillId="27" borderId="55" xfId="8" applyFont="1" applyFill="1" applyBorder="1" applyAlignment="1">
      <alignment horizontal="center" vertical="center" wrapText="1"/>
    </xf>
    <xf numFmtId="0" fontId="60" fillId="27" borderId="4" xfId="8" applyFont="1" applyFill="1" applyBorder="1" applyAlignment="1">
      <alignment horizontal="center" vertical="center" wrapText="1"/>
    </xf>
    <xf numFmtId="0" fontId="60" fillId="27" borderId="5" xfId="8" applyFont="1" applyFill="1" applyBorder="1" applyAlignment="1">
      <alignment horizontal="center" vertical="center" wrapText="1"/>
    </xf>
    <xf numFmtId="0" fontId="60" fillId="27" borderId="9" xfId="8" applyFont="1" applyFill="1" applyBorder="1" applyAlignment="1">
      <alignment horizontal="center" vertical="center" wrapText="1"/>
    </xf>
    <xf numFmtId="0" fontId="60" fillId="27" borderId="47" xfId="8" applyFont="1" applyFill="1" applyBorder="1" applyAlignment="1">
      <alignment horizontal="center" vertical="center" wrapText="1"/>
    </xf>
    <xf numFmtId="0" fontId="60" fillId="27" borderId="51" xfId="8" applyFont="1" applyFill="1" applyBorder="1" applyAlignment="1">
      <alignment horizontal="center" vertical="center" wrapText="1"/>
    </xf>
    <xf numFmtId="0" fontId="60" fillId="27" borderId="60" xfId="8" applyFont="1" applyFill="1" applyBorder="1" applyAlignment="1">
      <alignment horizontal="center" vertical="center" wrapText="1"/>
    </xf>
    <xf numFmtId="0" fontId="60" fillId="27" borderId="56" xfId="8" applyFont="1" applyFill="1" applyBorder="1" applyAlignment="1">
      <alignment horizontal="center" vertical="center" wrapText="1"/>
    </xf>
    <xf numFmtId="0" fontId="60" fillId="27" borderId="49" xfId="8" applyFont="1" applyFill="1" applyBorder="1" applyAlignment="1">
      <alignment horizontal="center" vertical="center" wrapText="1"/>
    </xf>
    <xf numFmtId="0" fontId="60" fillId="27" borderId="48" xfId="8" applyFont="1" applyFill="1" applyBorder="1" applyAlignment="1">
      <alignment horizontal="center" vertical="center" wrapText="1"/>
    </xf>
    <xf numFmtId="0" fontId="60" fillId="27" borderId="40" xfId="8" applyFont="1" applyFill="1" applyBorder="1" applyAlignment="1">
      <alignment horizontal="center" vertical="center" wrapText="1"/>
    </xf>
    <xf numFmtId="0" fontId="60" fillId="27" borderId="69" xfId="8" applyFont="1" applyFill="1" applyBorder="1" applyAlignment="1">
      <alignment horizontal="center" vertical="center" wrapText="1"/>
    </xf>
    <xf numFmtId="0" fontId="85" fillId="31" borderId="59" xfId="8" applyFont="1" applyFill="1" applyBorder="1" applyAlignment="1">
      <alignment horizontal="center" vertical="center" wrapText="1"/>
    </xf>
    <xf numFmtId="0" fontId="85" fillId="31" borderId="39" xfId="8" applyFont="1" applyFill="1" applyBorder="1" applyAlignment="1">
      <alignment horizontal="center" vertical="center" wrapText="1"/>
    </xf>
    <xf numFmtId="0" fontId="85" fillId="31" borderId="117" xfId="8" applyFont="1" applyFill="1" applyBorder="1" applyAlignment="1">
      <alignment horizontal="center" vertical="center" wrapText="1"/>
    </xf>
    <xf numFmtId="0" fontId="85" fillId="31" borderId="33" xfId="8" applyFont="1" applyFill="1" applyBorder="1" applyAlignment="1">
      <alignment horizontal="center" vertical="center" wrapText="1"/>
    </xf>
    <xf numFmtId="0" fontId="85" fillId="31" borderId="111" xfId="8" applyFont="1" applyFill="1" applyBorder="1" applyAlignment="1">
      <alignment horizontal="center" vertical="center" wrapText="1"/>
    </xf>
    <xf numFmtId="0" fontId="85" fillId="31" borderId="112" xfId="8" applyFont="1" applyFill="1" applyBorder="1" applyAlignment="1">
      <alignment horizontal="center" vertical="center" wrapText="1"/>
    </xf>
    <xf numFmtId="0" fontId="88" fillId="31" borderId="59" xfId="8" applyFont="1" applyFill="1" applyBorder="1" applyAlignment="1">
      <alignment horizontal="center" vertical="center" wrapText="1"/>
    </xf>
    <xf numFmtId="0" fontId="88" fillId="31" borderId="56" xfId="8" applyFont="1" applyFill="1" applyBorder="1" applyAlignment="1">
      <alignment horizontal="center" vertical="center" wrapText="1"/>
    </xf>
    <xf numFmtId="0" fontId="88" fillId="31" borderId="3" xfId="8" applyFont="1" applyFill="1" applyBorder="1" applyAlignment="1">
      <alignment horizontal="center" vertical="center" wrapText="1"/>
    </xf>
    <xf numFmtId="0" fontId="88" fillId="31" borderId="24" xfId="8" applyFont="1" applyFill="1" applyBorder="1" applyAlignment="1">
      <alignment horizontal="center" vertical="center" wrapText="1"/>
    </xf>
    <xf numFmtId="0" fontId="200" fillId="37" borderId="58" xfId="0" applyFont="1" applyFill="1" applyBorder="1" applyAlignment="1">
      <alignment horizontal="center" vertical="center" wrapText="1" readingOrder="1"/>
    </xf>
    <xf numFmtId="0" fontId="200" fillId="37" borderId="52" xfId="0" applyFont="1" applyFill="1" applyBorder="1" applyAlignment="1">
      <alignment horizontal="center" vertical="center" wrapText="1" readingOrder="1"/>
    </xf>
    <xf numFmtId="0" fontId="200" fillId="37" borderId="12" xfId="0" applyFont="1" applyFill="1" applyBorder="1" applyAlignment="1">
      <alignment horizontal="center" vertical="center" wrapText="1" readingOrder="1"/>
    </xf>
    <xf numFmtId="0" fontId="42" fillId="2" borderId="114" xfId="8" applyFont="1" applyFill="1" applyBorder="1" applyAlignment="1">
      <alignment horizontal="center" vertical="center" wrapText="1"/>
    </xf>
    <xf numFmtId="0" fontId="42" fillId="2" borderId="12" xfId="8" applyFont="1" applyFill="1" applyBorder="1" applyAlignment="1">
      <alignment horizontal="center" vertical="center" wrapText="1"/>
    </xf>
    <xf numFmtId="0" fontId="84" fillId="3" borderId="3" xfId="8" applyFont="1" applyFill="1" applyBorder="1" applyAlignment="1">
      <alignment horizontal="center" vertical="center" wrapText="1"/>
    </xf>
    <xf numFmtId="0" fontId="84" fillId="3" borderId="4" xfId="8" applyFont="1" applyFill="1" applyBorder="1" applyAlignment="1">
      <alignment horizontal="center" vertical="center" wrapText="1"/>
    </xf>
    <xf numFmtId="0" fontId="84" fillId="3" borderId="51" xfId="8" applyFont="1" applyFill="1" applyBorder="1" applyAlignment="1">
      <alignment horizontal="center" vertical="center" wrapText="1"/>
    </xf>
    <xf numFmtId="0" fontId="84" fillId="3" borderId="5" xfId="8" applyFont="1" applyFill="1" applyBorder="1" applyAlignment="1">
      <alignment horizontal="center" vertical="center" wrapText="1"/>
    </xf>
    <xf numFmtId="0" fontId="84" fillId="3" borderId="47" xfId="8" applyFont="1" applyFill="1" applyBorder="1" applyAlignment="1">
      <alignment horizontal="center" vertical="center" wrapText="1"/>
    </xf>
    <xf numFmtId="0" fontId="84" fillId="3" borderId="48" xfId="8" applyFont="1" applyFill="1" applyBorder="1" applyAlignment="1">
      <alignment horizontal="center" vertical="center" wrapText="1"/>
    </xf>
    <xf numFmtId="0" fontId="84" fillId="3" borderId="6" xfId="8" applyFont="1" applyFill="1" applyBorder="1" applyAlignment="1">
      <alignment horizontal="center" vertical="center" wrapText="1"/>
    </xf>
    <xf numFmtId="0" fontId="64" fillId="31" borderId="33" xfId="2" applyFont="1" applyFill="1" applyBorder="1" applyAlignment="1">
      <alignment horizontal="center" vertical="center" wrapText="1"/>
    </xf>
    <xf numFmtId="0" fontId="64" fillId="31" borderId="111" xfId="2" applyFont="1" applyFill="1" applyBorder="1" applyAlignment="1">
      <alignment horizontal="center" vertical="center" wrapText="1"/>
    </xf>
    <xf numFmtId="0" fontId="64" fillId="31" borderId="112" xfId="2" applyFont="1" applyFill="1" applyBorder="1" applyAlignment="1">
      <alignment horizontal="center" vertical="center" wrapText="1"/>
    </xf>
    <xf numFmtId="0" fontId="84" fillId="3" borderId="14" xfId="8" applyFont="1" applyFill="1" applyBorder="1" applyAlignment="1">
      <alignment horizontal="center" vertical="center" wrapText="1"/>
    </xf>
    <xf numFmtId="0" fontId="84" fillId="3" borderId="32" xfId="8" applyFont="1" applyFill="1" applyBorder="1" applyAlignment="1">
      <alignment horizontal="center" vertical="center" wrapText="1"/>
    </xf>
    <xf numFmtId="0" fontId="84" fillId="3" borderId="41" xfId="8" applyFont="1" applyFill="1" applyBorder="1" applyAlignment="1">
      <alignment horizontal="center" vertical="center" wrapText="1"/>
    </xf>
    <xf numFmtId="0" fontId="84" fillId="3" borderId="37" xfId="8" applyFont="1" applyFill="1" applyBorder="1" applyAlignment="1">
      <alignment horizontal="center" vertical="center" wrapText="1"/>
    </xf>
    <xf numFmtId="0" fontId="84" fillId="3" borderId="34" xfId="8" applyFont="1" applyFill="1" applyBorder="1" applyAlignment="1">
      <alignment horizontal="center" vertical="center" wrapText="1"/>
    </xf>
    <xf numFmtId="0" fontId="84" fillId="3" borderId="36" xfId="8" applyFont="1" applyFill="1" applyBorder="1" applyAlignment="1">
      <alignment horizontal="center" vertical="center" wrapText="1"/>
    </xf>
    <xf numFmtId="0" fontId="84" fillId="3" borderId="42" xfId="8" applyFont="1" applyFill="1" applyBorder="1" applyAlignment="1">
      <alignment horizontal="center" vertical="center" wrapText="1"/>
    </xf>
    <xf numFmtId="0" fontId="84" fillId="3" borderId="24" xfId="8" applyFont="1" applyFill="1" applyBorder="1" applyAlignment="1">
      <alignment horizontal="center" vertical="center" wrapText="1"/>
    </xf>
    <xf numFmtId="0" fontId="84" fillId="3" borderId="2" xfId="8" applyFont="1" applyFill="1" applyBorder="1" applyAlignment="1">
      <alignment horizontal="center" vertical="center" wrapText="1"/>
    </xf>
    <xf numFmtId="0" fontId="146" fillId="22" borderId="36" xfId="0" applyFont="1" applyFill="1" applyBorder="1" applyAlignment="1">
      <alignment horizontal="center" vertical="center" wrapText="1"/>
    </xf>
    <xf numFmtId="0" fontId="64" fillId="30" borderId="4" xfId="2" applyFont="1" applyFill="1" applyBorder="1" applyAlignment="1">
      <alignment horizontal="center" vertical="center" wrapText="1"/>
    </xf>
    <xf numFmtId="0" fontId="64" fillId="30" borderId="24" xfId="2" applyFont="1" applyFill="1" applyBorder="1" applyAlignment="1">
      <alignment horizontal="center" vertical="center" wrapText="1"/>
    </xf>
    <xf numFmtId="0" fontId="64" fillId="31" borderId="2" xfId="2" applyFont="1" applyFill="1" applyBorder="1" applyAlignment="1">
      <alignment horizontal="center" vertical="center" wrapText="1"/>
    </xf>
    <xf numFmtId="0" fontId="64" fillId="31" borderId="1" xfId="2" applyFont="1" applyFill="1" applyBorder="1" applyAlignment="1">
      <alignment horizontal="center" vertical="center" wrapText="1"/>
    </xf>
    <xf numFmtId="0" fontId="64" fillId="31" borderId="7" xfId="2" applyFont="1" applyFill="1" applyBorder="1" applyAlignment="1">
      <alignment horizontal="center" vertical="center" wrapText="1"/>
    </xf>
    <xf numFmtId="0" fontId="85" fillId="7" borderId="15" xfId="8" applyFont="1" applyFill="1" applyBorder="1" applyAlignment="1">
      <alignment horizontal="center" vertical="center" wrapText="1"/>
    </xf>
    <xf numFmtId="0" fontId="85" fillId="7" borderId="30" xfId="8" applyFont="1" applyFill="1" applyBorder="1" applyAlignment="1">
      <alignment horizontal="center" vertical="center" wrapText="1"/>
    </xf>
    <xf numFmtId="0" fontId="85" fillId="7" borderId="8" xfId="8" applyFont="1" applyFill="1" applyBorder="1" applyAlignment="1">
      <alignment horizontal="center" vertical="center" wrapText="1"/>
    </xf>
    <xf numFmtId="0" fontId="134" fillId="23" borderId="33" xfId="8" applyFont="1" applyFill="1" applyBorder="1" applyAlignment="1">
      <alignment horizontal="center"/>
    </xf>
    <xf numFmtId="0" fontId="134" fillId="23" borderId="112" xfId="8" applyFont="1" applyFill="1" applyBorder="1" applyAlignment="1">
      <alignment horizontal="center"/>
    </xf>
    <xf numFmtId="0" fontId="139" fillId="22" borderId="114" xfId="8" applyFont="1" applyFill="1" applyBorder="1" applyAlignment="1">
      <alignment horizontal="center" vertical="center" wrapText="1"/>
    </xf>
    <xf numFmtId="0" fontId="139" fillId="22" borderId="15" xfId="8" applyFont="1" applyFill="1" applyBorder="1" applyAlignment="1">
      <alignment horizontal="center" vertical="center" wrapText="1"/>
    </xf>
    <xf numFmtId="0" fontId="139" fillId="22" borderId="111" xfId="8" applyFont="1" applyFill="1" applyBorder="1" applyAlignment="1">
      <alignment horizontal="center" vertical="center" wrapText="1"/>
    </xf>
    <xf numFmtId="0" fontId="139" fillId="22" borderId="112" xfId="8" applyFont="1" applyFill="1" applyBorder="1" applyAlignment="1">
      <alignment horizontal="center" vertical="center" wrapText="1"/>
    </xf>
    <xf numFmtId="0" fontId="139" fillId="19" borderId="32" xfId="8" applyFont="1" applyFill="1" applyBorder="1" applyAlignment="1">
      <alignment horizontal="center" vertical="center" wrapText="1"/>
    </xf>
    <xf numFmtId="0" fontId="139" fillId="19" borderId="41" xfId="8" applyFont="1" applyFill="1" applyBorder="1" applyAlignment="1">
      <alignment horizontal="center" vertical="center" wrapText="1"/>
    </xf>
    <xf numFmtId="0" fontId="139" fillId="19" borderId="37" xfId="8" applyFont="1" applyFill="1" applyBorder="1" applyAlignment="1">
      <alignment horizontal="center" vertical="center" wrapText="1"/>
    </xf>
    <xf numFmtId="0" fontId="88" fillId="15" borderId="4" xfId="8" applyFont="1" applyFill="1" applyBorder="1" applyAlignment="1">
      <alignment horizontal="center" vertical="center" wrapText="1"/>
    </xf>
    <xf numFmtId="0" fontId="88" fillId="15" borderId="24" xfId="8" applyFont="1" applyFill="1" applyBorder="1" applyAlignment="1">
      <alignment horizontal="center" vertical="center" wrapText="1"/>
    </xf>
    <xf numFmtId="0" fontId="88" fillId="15" borderId="3" xfId="8" applyFont="1" applyFill="1" applyBorder="1" applyAlignment="1">
      <alignment horizontal="center" vertical="top" wrapText="1"/>
    </xf>
    <xf numFmtId="0" fontId="88" fillId="15" borderId="4" xfId="8" applyFont="1" applyFill="1" applyBorder="1" applyAlignment="1">
      <alignment horizontal="center" vertical="top" wrapText="1"/>
    </xf>
    <xf numFmtId="0" fontId="85" fillId="0" borderId="47" xfId="8" applyFont="1" applyFill="1" applyBorder="1" applyAlignment="1">
      <alignment horizontal="justify" vertical="center"/>
    </xf>
    <xf numFmtId="0" fontId="85" fillId="0" borderId="5" xfId="8" applyFont="1" applyFill="1" applyBorder="1" applyAlignment="1">
      <alignment horizontal="justify" vertical="center"/>
    </xf>
    <xf numFmtId="0" fontId="85" fillId="0" borderId="58" xfId="8" applyFont="1" applyFill="1" applyBorder="1" applyAlignment="1">
      <alignment horizontal="justify" vertical="center"/>
    </xf>
    <xf numFmtId="0" fontId="85" fillId="0" borderId="47" xfId="8" applyFont="1" applyFill="1" applyBorder="1" applyAlignment="1">
      <alignment horizontal="center" vertical="center" wrapText="1"/>
    </xf>
    <xf numFmtId="0" fontId="85" fillId="0" borderId="115" xfId="8" applyFont="1" applyFill="1" applyBorder="1" applyAlignment="1">
      <alignment horizontal="justify" vertical="center"/>
    </xf>
    <xf numFmtId="0" fontId="85" fillId="0" borderId="57" xfId="8" applyFont="1" applyFill="1" applyBorder="1" applyAlignment="1">
      <alignment horizontal="justify" vertical="center"/>
    </xf>
    <xf numFmtId="0" fontId="85" fillId="0" borderId="9" xfId="8" applyFont="1" applyFill="1" applyBorder="1" applyAlignment="1">
      <alignment horizontal="center" vertical="center" wrapText="1"/>
    </xf>
    <xf numFmtId="0" fontId="85" fillId="0" borderId="141" xfId="8" applyFont="1" applyFill="1" applyBorder="1" applyAlignment="1">
      <alignment horizontal="center" vertical="center" wrapText="1"/>
    </xf>
    <xf numFmtId="0" fontId="24" fillId="0" borderId="47" xfId="13" applyFont="1" applyFill="1" applyBorder="1" applyAlignment="1">
      <alignment horizontal="center" vertical="center" wrapText="1"/>
    </xf>
    <xf numFmtId="0" fontId="24" fillId="0" borderId="50" xfId="13" applyFont="1" applyFill="1" applyBorder="1" applyAlignment="1">
      <alignment horizontal="center" vertical="center" wrapText="1"/>
    </xf>
    <xf numFmtId="0" fontId="24" fillId="0" borderId="11" xfId="13" applyFont="1" applyFill="1" applyBorder="1" applyAlignment="1">
      <alignment horizontal="center" vertical="center" wrapText="1"/>
    </xf>
    <xf numFmtId="0" fontId="24" fillId="0" borderId="50" xfId="13" applyFont="1" applyFill="1" applyBorder="1" applyAlignment="1">
      <alignment horizontal="center" vertical="center"/>
    </xf>
    <xf numFmtId="0" fontId="24" fillId="0" borderId="11" xfId="13" applyFont="1" applyFill="1" applyBorder="1" applyAlignment="1">
      <alignment horizontal="center" vertical="center"/>
    </xf>
    <xf numFmtId="0" fontId="24" fillId="0" borderId="118" xfId="13" applyFont="1" applyFill="1" applyBorder="1" applyAlignment="1">
      <alignment horizontal="center" vertical="center"/>
    </xf>
    <xf numFmtId="0" fontId="85" fillId="3" borderId="138" xfId="8" applyFont="1" applyFill="1" applyBorder="1" applyAlignment="1">
      <alignment horizontal="center" vertical="center" wrapText="1"/>
    </xf>
    <xf numFmtId="0" fontId="85" fillId="3" borderId="30" xfId="8" applyFont="1" applyFill="1" applyBorder="1" applyAlignment="1">
      <alignment horizontal="center" vertical="center" wrapText="1"/>
    </xf>
    <xf numFmtId="0" fontId="85" fillId="3" borderId="8" xfId="8" applyFont="1" applyFill="1" applyBorder="1" applyAlignment="1">
      <alignment horizontal="center" vertical="center" wrapText="1"/>
    </xf>
    <xf numFmtId="0" fontId="23" fillId="3" borderId="118" xfId="13" applyFont="1" applyFill="1" applyBorder="1" applyAlignment="1">
      <alignment horizontal="center" vertical="center" textRotation="90" wrapText="1"/>
    </xf>
    <xf numFmtId="0" fontId="23" fillId="3" borderId="11" xfId="13" applyFont="1" applyFill="1" applyBorder="1" applyAlignment="1">
      <alignment horizontal="center" vertical="center" textRotation="90" wrapText="1"/>
    </xf>
    <xf numFmtId="0" fontId="88" fillId="0" borderId="58" xfId="8" applyFont="1" applyFill="1" applyBorder="1" applyAlignment="1">
      <alignment vertical="center" wrapText="1"/>
    </xf>
    <xf numFmtId="0" fontId="88" fillId="0" borderId="52" xfId="8" applyFont="1" applyFill="1" applyBorder="1" applyAlignment="1">
      <alignment vertical="center" wrapText="1"/>
    </xf>
    <xf numFmtId="0" fontId="88" fillId="0" borderId="12" xfId="8" applyFont="1" applyFill="1" applyBorder="1" applyAlignment="1">
      <alignment vertical="center" wrapText="1"/>
    </xf>
    <xf numFmtId="0" fontId="85" fillId="0" borderId="138" xfId="8" applyFont="1" applyFill="1" applyBorder="1" applyAlignment="1">
      <alignment horizontal="center" vertical="center" wrapText="1"/>
    </xf>
    <xf numFmtId="0" fontId="85" fillId="0" borderId="30" xfId="8" applyFont="1" applyFill="1" applyBorder="1" applyAlignment="1">
      <alignment horizontal="center" vertical="center" wrapText="1"/>
    </xf>
    <xf numFmtId="0" fontId="85" fillId="0" borderId="8" xfId="8" applyFont="1" applyFill="1" applyBorder="1" applyAlignment="1">
      <alignment horizontal="center" vertical="center" wrapText="1"/>
    </xf>
    <xf numFmtId="0" fontId="23" fillId="0" borderId="29" xfId="13" applyFont="1" applyFill="1" applyBorder="1" applyAlignment="1">
      <alignment horizontal="center" vertical="center" textRotation="90" wrapText="1"/>
    </xf>
    <xf numFmtId="0" fontId="23" fillId="0" borderId="25" xfId="13" applyFont="1" applyFill="1" applyBorder="1" applyAlignment="1">
      <alignment horizontal="center" vertical="center" textRotation="90" wrapText="1"/>
    </xf>
    <xf numFmtId="0" fontId="23" fillId="0" borderId="26" xfId="13" applyFont="1" applyFill="1" applyBorder="1" applyAlignment="1">
      <alignment horizontal="center" vertical="center" textRotation="90" wrapText="1"/>
    </xf>
    <xf numFmtId="0" fontId="4" fillId="0" borderId="50" xfId="13" applyFont="1" applyFill="1" applyBorder="1" applyAlignment="1">
      <alignment horizontal="center" vertical="center"/>
    </xf>
    <xf numFmtId="0" fontId="18" fillId="0" borderId="11" xfId="13" applyFont="1" applyFill="1" applyBorder="1" applyAlignment="1">
      <alignment horizontal="center" vertical="center"/>
    </xf>
    <xf numFmtId="0" fontId="2" fillId="3" borderId="29" xfId="13" applyFont="1" applyFill="1" applyBorder="1" applyAlignment="1">
      <alignment horizontal="center" vertical="center" wrapText="1"/>
    </xf>
    <xf numFmtId="0" fontId="18" fillId="3" borderId="26" xfId="13" applyFont="1" applyFill="1" applyBorder="1" applyAlignment="1">
      <alignment horizontal="center" vertical="center" wrapText="1"/>
    </xf>
    <xf numFmtId="0" fontId="2" fillId="0" borderId="29" xfId="13" applyFont="1" applyFill="1" applyBorder="1" applyAlignment="1">
      <alignment horizontal="center" vertical="center" wrapText="1"/>
    </xf>
    <xf numFmtId="0" fontId="24" fillId="0" borderId="26" xfId="13" applyFont="1" applyFill="1" applyBorder="1" applyAlignment="1">
      <alignment horizontal="center" vertical="center" wrapText="1"/>
    </xf>
    <xf numFmtId="0" fontId="2" fillId="3" borderId="29" xfId="13" applyFont="1" applyFill="1" applyBorder="1" applyAlignment="1">
      <alignment horizontal="center" vertical="center"/>
    </xf>
    <xf numFmtId="0" fontId="2" fillId="3" borderId="25" xfId="13" applyFont="1" applyFill="1" applyBorder="1" applyAlignment="1">
      <alignment horizontal="center" vertical="center"/>
    </xf>
    <xf numFmtId="0" fontId="22" fillId="3" borderId="47" xfId="13" applyFont="1" applyFill="1" applyBorder="1" applyAlignment="1">
      <alignment horizontal="center" vertical="center" textRotation="90" wrapText="1"/>
    </xf>
    <xf numFmtId="0" fontId="85" fillId="3" borderId="58" xfId="8" applyFont="1" applyFill="1" applyBorder="1" applyAlignment="1">
      <alignment horizontal="justify" vertical="center"/>
    </xf>
    <xf numFmtId="0" fontId="85" fillId="3" borderId="12" xfId="8" applyFont="1" applyFill="1" applyBorder="1" applyAlignment="1">
      <alignment horizontal="justify" vertical="center"/>
    </xf>
    <xf numFmtId="0" fontId="35" fillId="0" borderId="42" xfId="13" applyBorder="1" applyAlignment="1">
      <alignment horizontal="center" vertical="center"/>
    </xf>
    <xf numFmtId="0" fontId="35" fillId="0" borderId="17" xfId="13" applyBorder="1" applyAlignment="1">
      <alignment horizontal="center" vertical="center"/>
    </xf>
    <xf numFmtId="0" fontId="35" fillId="0" borderId="28" xfId="13" applyBorder="1" applyAlignment="1">
      <alignment horizontal="center" vertical="center"/>
    </xf>
    <xf numFmtId="0" fontId="124" fillId="23" borderId="137" xfId="0" applyFont="1" applyFill="1" applyBorder="1" applyAlignment="1">
      <alignment horizontal="center" vertical="center" wrapText="1"/>
    </xf>
    <xf numFmtId="0" fontId="124" fillId="23" borderId="16" xfId="0" applyFont="1" applyFill="1" applyBorder="1" applyAlignment="1">
      <alignment horizontal="center" vertical="center" wrapText="1"/>
    </xf>
    <xf numFmtId="0" fontId="124" fillId="23" borderId="141" xfId="0" applyFont="1" applyFill="1" applyBorder="1" applyAlignment="1">
      <alignment horizontal="center" vertical="center" wrapText="1"/>
    </xf>
    <xf numFmtId="0" fontId="153" fillId="23" borderId="138" xfId="1" applyFont="1" applyFill="1" applyBorder="1" applyAlignment="1">
      <alignment horizontal="center" vertical="center" wrapText="1"/>
    </xf>
    <xf numFmtId="0" fontId="107" fillId="33" borderId="3" xfId="8" applyFont="1" applyFill="1" applyBorder="1" applyAlignment="1">
      <alignment horizontal="center" vertical="center" textRotation="90" wrapText="1"/>
    </xf>
    <xf numFmtId="0" fontId="107" fillId="33" borderId="58" xfId="8" applyFont="1" applyFill="1" applyBorder="1" applyAlignment="1">
      <alignment horizontal="center" vertical="center" textRotation="90" wrapText="1"/>
    </xf>
    <xf numFmtId="0" fontId="107" fillId="33" borderId="4" xfId="8" applyNumberFormat="1" applyFont="1" applyFill="1" applyBorder="1" applyAlignment="1">
      <alignment horizontal="center" vertical="center" textRotation="90" wrapText="1"/>
    </xf>
    <xf numFmtId="0" fontId="107" fillId="33" borderId="138" xfId="8" applyNumberFormat="1" applyFont="1" applyFill="1" applyBorder="1" applyAlignment="1">
      <alignment horizontal="center" vertical="center" textRotation="90" wrapText="1"/>
    </xf>
    <xf numFmtId="166" fontId="107" fillId="33" borderId="4" xfId="20" applyNumberFormat="1" applyFont="1" applyFill="1" applyBorder="1" applyAlignment="1">
      <alignment horizontal="center" vertical="center" textRotation="90" wrapText="1"/>
    </xf>
    <xf numFmtId="166" fontId="107" fillId="33" borderId="138" xfId="20" applyNumberFormat="1" applyFont="1" applyFill="1" applyBorder="1" applyAlignment="1">
      <alignment horizontal="center" vertical="center" textRotation="90" wrapText="1"/>
    </xf>
    <xf numFmtId="166" fontId="154" fillId="21" borderId="4" xfId="20" applyNumberFormat="1" applyFont="1" applyFill="1" applyBorder="1" applyAlignment="1">
      <alignment horizontal="center" vertical="center" wrapText="1"/>
    </xf>
    <xf numFmtId="0" fontId="154" fillId="21" borderId="24" xfId="22" applyFont="1" applyFill="1" applyBorder="1" applyAlignment="1">
      <alignment horizontal="center" vertical="top" textRotation="90" wrapText="1"/>
    </xf>
    <xf numFmtId="0" fontId="154" fillId="21" borderId="50" xfId="22" applyFont="1" applyFill="1" applyBorder="1" applyAlignment="1">
      <alignment horizontal="center" vertical="top" textRotation="90" wrapText="1"/>
    </xf>
    <xf numFmtId="0" fontId="22" fillId="3" borderId="50" xfId="13" applyFont="1" applyFill="1" applyBorder="1" applyAlignment="1">
      <alignment horizontal="center" vertical="center" textRotation="90" wrapText="1"/>
    </xf>
    <xf numFmtId="0" fontId="22" fillId="3" borderId="118" xfId="13" applyFont="1" applyFill="1" applyBorder="1" applyAlignment="1">
      <alignment horizontal="center" vertical="center" textRotation="90" wrapText="1"/>
    </xf>
    <xf numFmtId="0" fontId="22" fillId="3" borderId="11" xfId="13" applyFont="1" applyFill="1" applyBorder="1" applyAlignment="1">
      <alignment horizontal="center" vertical="center" textRotation="90" wrapText="1"/>
    </xf>
    <xf numFmtId="0" fontId="23" fillId="3" borderId="6" xfId="13" applyFont="1" applyFill="1" applyBorder="1" applyAlignment="1">
      <alignment horizontal="center" vertical="center" textRotation="90" wrapText="1"/>
    </xf>
    <xf numFmtId="0" fontId="21" fillId="3" borderId="50" xfId="13" applyFont="1" applyFill="1" applyBorder="1" applyAlignment="1">
      <alignment horizontal="center" vertical="center" textRotation="90" wrapText="1"/>
    </xf>
    <xf numFmtId="0" fontId="35" fillId="3" borderId="118" xfId="13" applyFill="1" applyBorder="1" applyAlignment="1">
      <alignment horizontal="center" vertical="center" textRotation="90" wrapText="1"/>
    </xf>
    <xf numFmtId="0" fontId="35" fillId="3" borderId="11" xfId="13" applyFill="1" applyBorder="1" applyAlignment="1">
      <alignment horizontal="center" vertical="center" textRotation="90" wrapText="1"/>
    </xf>
    <xf numFmtId="0" fontId="23" fillId="3" borderId="50" xfId="13" applyFont="1" applyFill="1" applyBorder="1" applyAlignment="1">
      <alignment horizontal="center" vertical="center" textRotation="90" wrapText="1"/>
    </xf>
    <xf numFmtId="0" fontId="107" fillId="33" borderId="15" xfId="8" applyNumberFormat="1" applyFont="1" applyFill="1" applyBorder="1" applyAlignment="1">
      <alignment horizontal="center" vertical="center" textRotation="90" wrapText="1"/>
    </xf>
    <xf numFmtId="0" fontId="107" fillId="33" borderId="30" xfId="8" applyNumberFormat="1" applyFont="1" applyFill="1" applyBorder="1" applyAlignment="1">
      <alignment horizontal="center" vertical="center" textRotation="90" wrapText="1"/>
    </xf>
    <xf numFmtId="0" fontId="15" fillId="0" borderId="50" xfId="13" applyFont="1" applyFill="1" applyBorder="1" applyAlignment="1">
      <alignment horizontal="center" vertical="center"/>
    </xf>
    <xf numFmtId="0" fontId="18" fillId="0" borderId="50" xfId="13" applyFont="1" applyFill="1" applyBorder="1" applyAlignment="1">
      <alignment horizontal="center" vertical="center"/>
    </xf>
    <xf numFmtId="0" fontId="21" fillId="8" borderId="31" xfId="13" applyFont="1" applyFill="1" applyBorder="1" applyAlignment="1">
      <alignment horizontal="center" vertical="center" wrapText="1"/>
    </xf>
    <xf numFmtId="0" fontId="21" fillId="8" borderId="118" xfId="13" applyFont="1" applyFill="1" applyBorder="1" applyAlignment="1">
      <alignment horizontal="center" vertical="center" wrapText="1"/>
    </xf>
    <xf numFmtId="0" fontId="29" fillId="3" borderId="138" xfId="22" applyFill="1" applyBorder="1" applyAlignment="1">
      <alignment horizontal="center" vertical="center"/>
    </xf>
    <xf numFmtId="0" fontId="29" fillId="3" borderId="30" xfId="22" applyFill="1" applyBorder="1" applyAlignment="1">
      <alignment horizontal="center" vertical="center"/>
    </xf>
    <xf numFmtId="0" fontId="29" fillId="3" borderId="8" xfId="22" applyFill="1" applyBorder="1" applyAlignment="1">
      <alignment horizontal="center" vertical="center"/>
    </xf>
    <xf numFmtId="0" fontId="24" fillId="0" borderId="118" xfId="13" applyFont="1" applyFill="1" applyBorder="1" applyAlignment="1">
      <alignment horizontal="center" vertical="center" wrapText="1"/>
    </xf>
    <xf numFmtId="0" fontId="85" fillId="3" borderId="47" xfId="8" applyFont="1" applyFill="1" applyBorder="1" applyAlignment="1">
      <alignment horizontal="center" vertical="center" wrapText="1"/>
    </xf>
    <xf numFmtId="0" fontId="88" fillId="3" borderId="47" xfId="8" applyFont="1" applyFill="1" applyBorder="1" applyAlignment="1">
      <alignment horizontal="center" vertical="center" wrapText="1"/>
    </xf>
    <xf numFmtId="0" fontId="124" fillId="23" borderId="32" xfId="0" applyFont="1" applyFill="1" applyBorder="1" applyAlignment="1">
      <alignment horizontal="center" vertical="center" wrapText="1"/>
    </xf>
    <xf numFmtId="0" fontId="124" fillId="23" borderId="41" xfId="0" applyFont="1" applyFill="1" applyBorder="1" applyAlignment="1">
      <alignment horizontal="center" vertical="center" wrapText="1"/>
    </xf>
    <xf numFmtId="0" fontId="124" fillId="23" borderId="37" xfId="0" applyFont="1" applyFill="1" applyBorder="1" applyAlignment="1">
      <alignment horizontal="center" vertical="center" wrapText="1"/>
    </xf>
    <xf numFmtId="0" fontId="86" fillId="21" borderId="15" xfId="10" applyFont="1" applyFill="1" applyBorder="1" applyAlignment="1">
      <alignment horizontal="center" vertical="center" textRotation="90" wrapText="1"/>
    </xf>
    <xf numFmtId="0" fontId="86" fillId="21" borderId="116" xfId="10" applyFont="1" applyFill="1" applyBorder="1" applyAlignment="1">
      <alignment horizontal="center" vertical="center" textRotation="90" wrapText="1"/>
    </xf>
    <xf numFmtId="0" fontId="86" fillId="21" borderId="114" xfId="10" applyFont="1" applyFill="1" applyBorder="1" applyAlignment="1">
      <alignment horizontal="center" vertical="center" textRotation="90" wrapText="1"/>
    </xf>
    <xf numFmtId="0" fontId="86" fillId="21" borderId="53" xfId="10" applyFont="1" applyFill="1" applyBorder="1" applyAlignment="1">
      <alignment horizontal="center" vertical="center" textRotation="90" wrapText="1"/>
    </xf>
    <xf numFmtId="0" fontId="86" fillId="21" borderId="31" xfId="10" applyFont="1" applyFill="1" applyBorder="1" applyAlignment="1">
      <alignment horizontal="center" vertical="center" textRotation="90" wrapText="1"/>
    </xf>
    <xf numFmtId="0" fontId="86" fillId="21" borderId="110" xfId="10" applyFont="1" applyFill="1" applyBorder="1" applyAlignment="1">
      <alignment horizontal="center" vertical="center" textRotation="90" wrapText="1"/>
    </xf>
    <xf numFmtId="0" fontId="88" fillId="12" borderId="24" xfId="8" applyFont="1" applyFill="1" applyBorder="1" applyAlignment="1">
      <alignment horizontal="center" vertical="center" wrapText="1"/>
    </xf>
    <xf numFmtId="0" fontId="88" fillId="12" borderId="7" xfId="8" applyFont="1" applyFill="1" applyBorder="1" applyAlignment="1">
      <alignment horizontal="center" vertical="center" wrapText="1"/>
    </xf>
    <xf numFmtId="0" fontId="88" fillId="12" borderId="3" xfId="8" applyFont="1" applyFill="1" applyBorder="1" applyAlignment="1">
      <alignment horizontal="center" vertical="center" wrapText="1"/>
    </xf>
    <xf numFmtId="0" fontId="88" fillId="12" borderId="4" xfId="8" applyFont="1" applyFill="1" applyBorder="1" applyAlignment="1">
      <alignment horizontal="center" vertical="center" wrapText="1"/>
    </xf>
    <xf numFmtId="0" fontId="88" fillId="12" borderId="2" xfId="8" applyFont="1" applyFill="1" applyBorder="1" applyAlignment="1">
      <alignment horizontal="center" vertical="center" wrapText="1"/>
    </xf>
    <xf numFmtId="0" fontId="88" fillId="12" borderId="1" xfId="8" applyFont="1" applyFill="1" applyBorder="1" applyAlignment="1">
      <alignment horizontal="center" vertical="center" wrapText="1"/>
    </xf>
    <xf numFmtId="0" fontId="88" fillId="12" borderId="119" xfId="8" applyFont="1" applyFill="1" applyBorder="1" applyAlignment="1">
      <alignment horizontal="center" vertical="center" wrapText="1"/>
    </xf>
    <xf numFmtId="0" fontId="88" fillId="12" borderId="120" xfId="8" applyFont="1" applyFill="1" applyBorder="1" applyAlignment="1">
      <alignment horizontal="center" vertical="center" wrapText="1"/>
    </xf>
    <xf numFmtId="0" fontId="96" fillId="12" borderId="55" xfId="13" applyFont="1" applyFill="1" applyBorder="1" applyAlignment="1">
      <alignment horizontal="center" vertical="center" wrapText="1"/>
    </xf>
    <xf numFmtId="0" fontId="96" fillId="12" borderId="4" xfId="13" applyFont="1" applyFill="1" applyBorder="1" applyAlignment="1">
      <alignment horizontal="center" vertical="center" wrapText="1"/>
    </xf>
    <xf numFmtId="0" fontId="96" fillId="12" borderId="51" xfId="13" applyFont="1" applyFill="1" applyBorder="1" applyAlignment="1">
      <alignment horizontal="center" vertical="center" wrapText="1"/>
    </xf>
    <xf numFmtId="0" fontId="88" fillId="40" borderId="12" xfId="8" applyFont="1" applyFill="1" applyBorder="1" applyAlignment="1">
      <alignment horizontal="justify" vertical="center" wrapText="1"/>
    </xf>
    <xf numFmtId="0" fontId="88" fillId="40" borderId="5" xfId="8" applyFont="1" applyFill="1" applyBorder="1" applyAlignment="1">
      <alignment horizontal="justify" vertical="center" wrapText="1"/>
    </xf>
    <xf numFmtId="0" fontId="85" fillId="40" borderId="11" xfId="8" applyFont="1" applyFill="1" applyBorder="1" applyAlignment="1">
      <alignment horizontal="center" vertical="center" wrapText="1"/>
    </xf>
    <xf numFmtId="0" fontId="85" fillId="40" borderId="6" xfId="8" applyFont="1" applyFill="1" applyBorder="1" applyAlignment="1">
      <alignment horizontal="center" vertical="center" wrapText="1"/>
    </xf>
    <xf numFmtId="0" fontId="85" fillId="40" borderId="8" xfId="8" applyFont="1" applyFill="1" applyBorder="1" applyAlignment="1">
      <alignment horizontal="center" vertical="center" wrapText="1"/>
    </xf>
    <xf numFmtId="0" fontId="85" fillId="40" borderId="47" xfId="8" applyFont="1" applyFill="1" applyBorder="1" applyAlignment="1">
      <alignment horizontal="center" vertical="center" wrapText="1"/>
    </xf>
    <xf numFmtId="0" fontId="85" fillId="3" borderId="5" xfId="8" applyFont="1" applyFill="1" applyBorder="1" applyAlignment="1">
      <alignment horizontal="justify" vertical="center"/>
    </xf>
    <xf numFmtId="0" fontId="85" fillId="0" borderId="6" xfId="8" applyFont="1" applyFill="1" applyBorder="1" applyAlignment="1">
      <alignment horizontal="center" vertical="center" wrapText="1"/>
    </xf>
    <xf numFmtId="0" fontId="85" fillId="0" borderId="5" xfId="8" applyFont="1" applyFill="1" applyBorder="1" applyAlignment="1">
      <alignment horizontal="justify" vertical="center" wrapText="1"/>
    </xf>
    <xf numFmtId="0" fontId="85" fillId="3" borderId="58" xfId="8" applyFont="1" applyFill="1" applyBorder="1" applyAlignment="1">
      <alignment horizontal="justify" vertical="center" wrapText="1"/>
    </xf>
    <xf numFmtId="0" fontId="85" fillId="3" borderId="52" xfId="8" applyFont="1" applyFill="1" applyBorder="1" applyAlignment="1">
      <alignment horizontal="justify" vertical="center" wrapText="1"/>
    </xf>
    <xf numFmtId="0" fontId="85" fillId="3" borderId="12" xfId="8" applyFont="1" applyFill="1" applyBorder="1" applyAlignment="1">
      <alignment horizontal="justify" vertical="center" wrapText="1"/>
    </xf>
    <xf numFmtId="0" fontId="88" fillId="21" borderId="34" xfId="8" applyFont="1" applyFill="1" applyBorder="1" applyAlignment="1">
      <alignment horizontal="left" vertical="center" wrapText="1"/>
    </xf>
    <xf numFmtId="0" fontId="88" fillId="21" borderId="44" xfId="8" applyFont="1" applyFill="1" applyBorder="1" applyAlignment="1">
      <alignment horizontal="left" vertical="center" wrapText="1"/>
    </xf>
    <xf numFmtId="0" fontId="88" fillId="21" borderId="42" xfId="8" applyFont="1" applyFill="1" applyBorder="1" applyAlignment="1">
      <alignment horizontal="left" vertical="center" wrapText="1"/>
    </xf>
    <xf numFmtId="0" fontId="88" fillId="21" borderId="46" xfId="8" applyFont="1" applyFill="1" applyBorder="1" applyAlignment="1">
      <alignment horizontal="left" vertical="center" wrapText="1"/>
    </xf>
    <xf numFmtId="0" fontId="85" fillId="21" borderId="119" xfId="8" applyFont="1" applyFill="1" applyBorder="1" applyAlignment="1">
      <alignment horizontal="center" vertical="center" wrapText="1"/>
    </xf>
    <xf numFmtId="0" fontId="85" fillId="21" borderId="19" xfId="8" applyFont="1" applyFill="1" applyBorder="1" applyAlignment="1">
      <alignment horizontal="center" vertical="center" wrapText="1"/>
    </xf>
    <xf numFmtId="0" fontId="85" fillId="0" borderId="58" xfId="8" applyFont="1" applyFill="1" applyBorder="1" applyAlignment="1">
      <alignment horizontal="left" vertical="center" wrapText="1"/>
    </xf>
    <xf numFmtId="0" fontId="85" fillId="0" borderId="12" xfId="8" applyFont="1" applyFill="1" applyBorder="1" applyAlignment="1">
      <alignment horizontal="left" vertical="center" wrapText="1"/>
    </xf>
    <xf numFmtId="0" fontId="88" fillId="24" borderId="3" xfId="8" applyFont="1" applyFill="1" applyBorder="1" applyAlignment="1">
      <alignment horizontal="justify" vertical="center" wrapText="1"/>
    </xf>
    <xf numFmtId="0" fontId="88" fillId="24" borderId="5" xfId="8" applyFont="1" applyFill="1" applyBorder="1" applyAlignment="1">
      <alignment horizontal="justify" vertical="center" wrapText="1"/>
    </xf>
    <xf numFmtId="0" fontId="85" fillId="24" borderId="4" xfId="8" applyFont="1" applyFill="1" applyBorder="1" applyAlignment="1">
      <alignment horizontal="center" vertical="center" wrapText="1"/>
    </xf>
    <xf numFmtId="0" fontId="85" fillId="24" borderId="47" xfId="8" applyFont="1" applyFill="1" applyBorder="1" applyAlignment="1">
      <alignment horizontal="center" vertical="center" wrapText="1"/>
    </xf>
    <xf numFmtId="0" fontId="85" fillId="3" borderId="58" xfId="8" applyFont="1" applyFill="1" applyBorder="1" applyAlignment="1">
      <alignment horizontal="center" vertical="center" wrapText="1"/>
    </xf>
    <xf numFmtId="0" fontId="85" fillId="3" borderId="52" xfId="8" applyFont="1" applyFill="1" applyBorder="1" applyAlignment="1">
      <alignment horizontal="center" vertical="center" wrapText="1"/>
    </xf>
    <xf numFmtId="0" fontId="85" fillId="3" borderId="12" xfId="8" applyFont="1" applyFill="1" applyBorder="1" applyAlignment="1">
      <alignment horizontal="center" vertical="center" wrapText="1"/>
    </xf>
    <xf numFmtId="0" fontId="85" fillId="3" borderId="58" xfId="8" applyFont="1" applyFill="1" applyBorder="1" applyAlignment="1">
      <alignment horizontal="left" vertical="center" wrapText="1"/>
    </xf>
    <xf numFmtId="0" fontId="85" fillId="3" borderId="52" xfId="8" applyFont="1" applyFill="1" applyBorder="1" applyAlignment="1">
      <alignment horizontal="left" vertical="center" wrapText="1"/>
    </xf>
    <xf numFmtId="0" fontId="85" fillId="3" borderId="12" xfId="8" applyFont="1" applyFill="1" applyBorder="1" applyAlignment="1">
      <alignment horizontal="left" vertical="center" wrapText="1"/>
    </xf>
    <xf numFmtId="0" fontId="88" fillId="0" borderId="5" xfId="8" applyFont="1" applyFill="1" applyBorder="1" applyAlignment="1">
      <alignment horizontal="justify" vertical="center" wrapText="1"/>
    </xf>
    <xf numFmtId="0" fontId="88" fillId="3" borderId="5" xfId="8" applyFont="1" applyFill="1" applyBorder="1" applyAlignment="1">
      <alignment horizontal="justify" vertical="center" wrapText="1"/>
    </xf>
    <xf numFmtId="0" fontId="85" fillId="40" borderId="4" xfId="8" applyFont="1" applyFill="1" applyBorder="1" applyAlignment="1">
      <alignment horizontal="center" vertical="center" wrapText="1"/>
    </xf>
    <xf numFmtId="0" fontId="88" fillId="40" borderId="3" xfId="8" applyFont="1" applyFill="1" applyBorder="1" applyAlignment="1">
      <alignment horizontal="justify" vertical="center" wrapText="1"/>
    </xf>
    <xf numFmtId="0" fontId="88" fillId="16" borderId="34" xfId="8" applyFont="1" applyFill="1" applyBorder="1" applyAlignment="1">
      <alignment horizontal="justify" vertical="center" wrapText="1"/>
    </xf>
    <xf numFmtId="0" fontId="88" fillId="16" borderId="46" xfId="8" applyFont="1" applyFill="1" applyBorder="1" applyAlignment="1">
      <alignment horizontal="justify" vertical="center" wrapText="1"/>
    </xf>
    <xf numFmtId="0" fontId="88" fillId="16" borderId="42" xfId="8" applyFont="1" applyFill="1" applyBorder="1" applyAlignment="1">
      <alignment horizontal="justify" vertical="center" wrapText="1"/>
    </xf>
    <xf numFmtId="0" fontId="85" fillId="0" borderId="58" xfId="8" applyFont="1" applyFill="1" applyBorder="1" applyAlignment="1">
      <alignment horizontal="center" vertical="center" wrapText="1"/>
    </xf>
    <xf numFmtId="0" fontId="85" fillId="0" borderId="52" xfId="8" applyFont="1" applyFill="1" applyBorder="1" applyAlignment="1">
      <alignment horizontal="center" vertical="center" wrapText="1"/>
    </xf>
    <xf numFmtId="0" fontId="85" fillId="0" borderId="12" xfId="8" applyFont="1" applyFill="1" applyBorder="1" applyAlignment="1">
      <alignment horizontal="center" vertical="center" wrapText="1"/>
    </xf>
    <xf numFmtId="0" fontId="2" fillId="3" borderId="47" xfId="13" applyFont="1" applyFill="1" applyBorder="1" applyAlignment="1">
      <alignment horizontal="center" vertical="center" wrapText="1"/>
    </xf>
    <xf numFmtId="0" fontId="24" fillId="3" borderId="47" xfId="13" applyFont="1" applyFill="1" applyBorder="1" applyAlignment="1">
      <alignment horizontal="center" vertical="center" wrapText="1"/>
    </xf>
    <xf numFmtId="0" fontId="2" fillId="3" borderId="50" xfId="13" applyFont="1" applyFill="1" applyBorder="1" applyAlignment="1">
      <alignment horizontal="center" vertical="center" wrapText="1"/>
    </xf>
    <xf numFmtId="0" fontId="24" fillId="3" borderId="11" xfId="13" applyFont="1" applyFill="1" applyBorder="1" applyAlignment="1">
      <alignment horizontal="center" vertical="center" wrapText="1"/>
    </xf>
    <xf numFmtId="0" fontId="139" fillId="19" borderId="0" xfId="8" applyFont="1" applyFill="1" applyBorder="1" applyAlignment="1">
      <alignment vertical="center" wrapText="1"/>
    </xf>
    <xf numFmtId="0" fontId="139" fillId="19" borderId="27" xfId="8" applyFont="1" applyFill="1" applyBorder="1" applyAlignment="1">
      <alignment vertical="center" wrapText="1"/>
    </xf>
    <xf numFmtId="0" fontId="85" fillId="3" borderId="5" xfId="8" applyFont="1" applyFill="1" applyBorder="1" applyAlignment="1">
      <alignment horizontal="justify" vertical="center" wrapText="1"/>
    </xf>
    <xf numFmtId="0" fontId="85" fillId="3" borderId="6" xfId="8" applyFont="1" applyFill="1" applyBorder="1" applyAlignment="1">
      <alignment horizontal="center" vertical="center" wrapText="1"/>
    </xf>
    <xf numFmtId="0" fontId="85" fillId="16" borderId="19" xfId="8" applyFont="1" applyFill="1" applyBorder="1" applyAlignment="1">
      <alignment horizontal="center" vertical="center" wrapText="1"/>
    </xf>
    <xf numFmtId="0" fontId="42" fillId="2" borderId="53" xfId="8" applyFont="1" applyFill="1" applyBorder="1" applyAlignment="1">
      <alignment horizontal="center" vertical="center" wrapText="1"/>
    </xf>
    <xf numFmtId="0" fontId="124" fillId="22" borderId="3" xfId="0" applyFont="1" applyFill="1" applyBorder="1" applyAlignment="1">
      <alignment horizontal="center" vertical="center" wrapText="1"/>
    </xf>
    <xf numFmtId="0" fontId="124" fillId="22" borderId="4" xfId="0" applyFont="1" applyFill="1" applyBorder="1" applyAlignment="1">
      <alignment horizontal="center" vertical="center" wrapText="1"/>
    </xf>
    <xf numFmtId="0" fontId="64" fillId="12" borderId="39" xfId="2" applyFont="1" applyFill="1" applyBorder="1" applyAlignment="1">
      <alignment horizontal="left" vertical="center" wrapText="1"/>
    </xf>
    <xf numFmtId="0" fontId="64" fillId="12" borderId="40" xfId="2" applyFont="1" applyFill="1" applyBorder="1" applyAlignment="1">
      <alignment horizontal="left" vertical="center" wrapText="1"/>
    </xf>
    <xf numFmtId="0" fontId="64" fillId="12" borderId="69" xfId="2" applyFont="1" applyFill="1" applyBorder="1" applyAlignment="1">
      <alignment horizontal="left" vertical="center" wrapText="1"/>
    </xf>
    <xf numFmtId="0" fontId="64" fillId="10" borderId="2" xfId="2" applyFont="1" applyFill="1" applyBorder="1" applyAlignment="1">
      <alignment horizontal="center" vertical="center" wrapText="1"/>
    </xf>
    <xf numFmtId="0" fontId="64" fillId="10" borderId="1" xfId="2" applyFont="1" applyFill="1" applyBorder="1" applyAlignment="1">
      <alignment horizontal="center" vertical="center" wrapText="1"/>
    </xf>
    <xf numFmtId="0" fontId="64" fillId="10" borderId="7" xfId="2" applyFont="1" applyFill="1" applyBorder="1" applyAlignment="1">
      <alignment horizontal="center" vertical="center" wrapText="1"/>
    </xf>
    <xf numFmtId="0" fontId="64" fillId="13" borderId="32" xfId="2" applyFont="1" applyFill="1" applyBorder="1" applyAlignment="1">
      <alignment horizontal="center" vertical="center" wrapText="1"/>
    </xf>
    <xf numFmtId="0" fontId="64" fillId="13" borderId="41" xfId="2" applyFont="1" applyFill="1" applyBorder="1" applyAlignment="1">
      <alignment horizontal="center" vertical="center" wrapText="1"/>
    </xf>
    <xf numFmtId="0" fontId="64" fillId="13" borderId="37" xfId="2" applyFont="1" applyFill="1" applyBorder="1" applyAlignment="1">
      <alignment horizontal="center" vertical="center" wrapText="1"/>
    </xf>
    <xf numFmtId="0" fontId="84" fillId="31" borderId="14" xfId="8" applyFont="1" applyFill="1" applyBorder="1" applyAlignment="1">
      <alignment horizontal="center" vertical="center" wrapText="1"/>
    </xf>
    <xf numFmtId="0" fontId="39" fillId="0" borderId="0" xfId="8" applyFont="1" applyAlignment="1">
      <alignment horizontal="left" wrapText="1"/>
    </xf>
    <xf numFmtId="0" fontId="81" fillId="0" borderId="32" xfId="8" applyFont="1" applyBorder="1" applyAlignment="1">
      <alignment horizontal="left" vertical="center" wrapText="1"/>
    </xf>
    <xf numFmtId="0" fontId="81" fillId="0" borderId="41" xfId="8" applyFont="1" applyBorder="1" applyAlignment="1">
      <alignment horizontal="left" vertical="center" wrapText="1"/>
    </xf>
    <xf numFmtId="0" fontId="81" fillId="0" borderId="37" xfId="8" applyFont="1" applyBorder="1" applyAlignment="1">
      <alignment horizontal="left" vertical="center" wrapText="1"/>
    </xf>
    <xf numFmtId="0" fontId="140" fillId="3" borderId="41" xfId="0" applyFont="1" applyFill="1" applyBorder="1" applyAlignment="1">
      <alignment horizontal="center" vertical="center" wrapText="1"/>
    </xf>
    <xf numFmtId="0" fontId="140" fillId="3" borderId="37" xfId="0" applyFont="1" applyFill="1" applyBorder="1" applyAlignment="1">
      <alignment horizontal="center" vertical="center" wrapText="1"/>
    </xf>
    <xf numFmtId="0" fontId="88" fillId="31" borderId="51" xfId="8" applyFont="1" applyFill="1" applyBorder="1" applyAlignment="1">
      <alignment horizontal="center" vertical="center" wrapText="1"/>
    </xf>
    <xf numFmtId="0" fontId="88" fillId="31" borderId="15" xfId="8" applyFont="1" applyFill="1" applyBorder="1" applyAlignment="1">
      <alignment horizontal="center" vertical="center" wrapText="1"/>
    </xf>
    <xf numFmtId="0" fontId="88" fillId="31" borderId="116" xfId="8" applyFont="1" applyFill="1" applyBorder="1" applyAlignment="1">
      <alignment horizontal="center" vertical="center" wrapText="1"/>
    </xf>
    <xf numFmtId="0" fontId="88" fillId="31" borderId="114" xfId="8" applyFont="1" applyFill="1" applyBorder="1" applyAlignment="1">
      <alignment horizontal="center" vertical="center" wrapText="1"/>
    </xf>
    <xf numFmtId="0" fontId="88" fillId="31" borderId="53" xfId="8" applyFont="1" applyFill="1" applyBorder="1" applyAlignment="1">
      <alignment horizontal="center" vertical="center" wrapText="1"/>
    </xf>
    <xf numFmtId="0" fontId="124" fillId="19" borderId="145" xfId="0" applyFont="1" applyFill="1" applyBorder="1" applyAlignment="1">
      <alignment horizontal="center" vertical="center"/>
    </xf>
    <xf numFmtId="0" fontId="124" fillId="19" borderId="146" xfId="0" applyFont="1" applyFill="1" applyBorder="1" applyAlignment="1">
      <alignment horizontal="center" vertical="center"/>
    </xf>
    <xf numFmtId="0" fontId="201" fillId="37" borderId="32" xfId="0" applyFont="1" applyFill="1" applyBorder="1" applyAlignment="1">
      <alignment horizontal="left" wrapText="1" readingOrder="1"/>
    </xf>
    <xf numFmtId="0" fontId="201" fillId="37" borderId="41" xfId="0" applyFont="1" applyFill="1" applyBorder="1" applyAlignment="1">
      <alignment horizontal="left" wrapText="1" readingOrder="1"/>
    </xf>
    <xf numFmtId="0" fontId="200" fillId="37" borderId="47" xfId="0" applyFont="1" applyFill="1" applyBorder="1" applyAlignment="1">
      <alignment horizontal="center" vertical="center" wrapText="1" readingOrder="1"/>
    </xf>
    <xf numFmtId="0" fontId="0" fillId="0" borderId="8" xfId="0" applyBorder="1" applyAlignment="1">
      <alignment horizontal="center" vertical="center" wrapText="1" readingOrder="1"/>
    </xf>
  </cellXfs>
  <cellStyles count="26">
    <cellStyle name="Encabezado 1" xfId="1" builtinId="16"/>
    <cellStyle name="Encabezado 4" xfId="2" builtinId="19"/>
    <cellStyle name="Euro" xfId="3"/>
    <cellStyle name="Hipervínculo" xfId="4" builtinId="8"/>
    <cellStyle name="Millares" xfId="20" builtinId="3"/>
    <cellStyle name="Moneda 2" xfId="12"/>
    <cellStyle name="Normal" xfId="0" builtinId="0"/>
    <cellStyle name="Normal 10" xfId="24"/>
    <cellStyle name="Normal 2" xfId="5"/>
    <cellStyle name="Normal 2 2 2" xfId="16"/>
    <cellStyle name="Normal 3" xfId="6"/>
    <cellStyle name="Normal 3 2" xfId="11"/>
    <cellStyle name="Normal 3 3" xfId="13"/>
    <cellStyle name="Normal 3 3 2" xfId="22"/>
    <cellStyle name="Normal 3_propuesta Instrumentos de Planificación20161" xfId="7"/>
    <cellStyle name="Normal 4" xfId="8"/>
    <cellStyle name="Normal 5" xfId="14"/>
    <cellStyle name="Normal 5 2" xfId="15"/>
    <cellStyle name="Normal 5 2 2" xfId="18"/>
    <cellStyle name="Normal 5 2 3" xfId="23"/>
    <cellStyle name="Normal 6" xfId="9"/>
    <cellStyle name="Normal 7" xfId="17"/>
    <cellStyle name="Normal 8" xfId="19"/>
    <cellStyle name="Normal 9" xfId="21"/>
    <cellStyle name="Normal_Xl0000062" xfId="10"/>
    <cellStyle name="Porcentaje" xfId="25" builtinId="5"/>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theme="7" tint="0.79998168889431442"/>
        </patternFill>
      </fill>
    </dxf>
  </dxfs>
  <tableStyles count="1" defaultTableStyle="TableStyleMedium9" defaultPivotStyle="PivotStyleLight16">
    <tableStyle name="Estilo de tabla 1" pivot="0" count="0"/>
  </tableStyles>
  <colors>
    <mruColors>
      <color rgb="FFFF9999"/>
      <color rgb="FFCCFF99"/>
      <color rgb="FFF0FB89"/>
      <color rgb="FFFFFF99"/>
      <color rgb="FFFFFFCC"/>
      <color rgb="FFB6EAD5"/>
      <color rgb="FFFFC301"/>
      <color rgb="FF008000"/>
      <color rgb="FFF3FCD2"/>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1.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Contenidos PEI-POM-POA'!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4.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5.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6.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7.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19.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6.xml.rels><?xml version="1.0" encoding="UTF-8" standalone="yes"?>
<Relationships xmlns="http://schemas.openxmlformats.org/package/2006/relationships"><Relationship Id="rId2" Type="http://schemas.openxmlformats.org/officeDocument/2006/relationships/hyperlink" Target="#'Contenidos PEI-POM-POA'!A1"/><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s PEI-POM-POA'!A1"/></Relationships>
</file>

<file path=xl/drawings/_rels/drawing9.xml.rels><?xml version="1.0" encoding="UTF-8" standalone="yes"?>
<Relationships xmlns="http://schemas.openxmlformats.org/package/2006/relationships"><Relationship Id="rId1" Type="http://schemas.openxmlformats.org/officeDocument/2006/relationships/hyperlink" Target="#'Contenidos PEI-POM-POA'!A1"/></Relationships>
</file>

<file path=xl/drawings/drawing1.xml><?xml version="1.0" encoding="utf-8"?>
<xdr:wsDr xmlns:xdr="http://schemas.openxmlformats.org/drawingml/2006/spreadsheetDrawing" xmlns:a="http://schemas.openxmlformats.org/drawingml/2006/main">
  <xdr:twoCellAnchor editAs="oneCell">
    <xdr:from>
      <xdr:col>8</xdr:col>
      <xdr:colOff>127000</xdr:colOff>
      <xdr:row>0</xdr:row>
      <xdr:rowOff>0</xdr:rowOff>
    </xdr:from>
    <xdr:to>
      <xdr:col>10</xdr:col>
      <xdr:colOff>279400</xdr:colOff>
      <xdr:row>5</xdr:row>
      <xdr:rowOff>60325</xdr:rowOff>
    </xdr:to>
    <xdr:pic>
      <xdr:nvPicPr>
        <xdr:cNvPr id="3" name="Imagen 2" descr="LOGOTIPO GOBIERNO-01.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175625" y="0"/>
          <a:ext cx="2152650" cy="2155825"/>
        </a:xfrm>
        <a:prstGeom prst="rect">
          <a:avLst/>
        </a:prstGeom>
      </xdr:spPr>
    </xdr:pic>
    <xdr:clientData/>
  </xdr:twoCellAnchor>
  <xdr:twoCellAnchor editAs="oneCell">
    <xdr:from>
      <xdr:col>0</xdr:col>
      <xdr:colOff>174624</xdr:colOff>
      <xdr:row>1</xdr:row>
      <xdr:rowOff>95249</xdr:rowOff>
    </xdr:from>
    <xdr:to>
      <xdr:col>2</xdr:col>
      <xdr:colOff>571499</xdr:colOff>
      <xdr:row>2</xdr:row>
      <xdr:rowOff>968374</xdr:rowOff>
    </xdr:to>
    <xdr:pic>
      <xdr:nvPicPr>
        <xdr:cNvPr id="5" name="Imagen 4">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4624" y="365124"/>
          <a:ext cx="1920875" cy="1158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222250</xdr:colOff>
      <xdr:row>0</xdr:row>
      <xdr:rowOff>127000</xdr:rowOff>
    </xdr:from>
    <xdr:to>
      <xdr:col>10</xdr:col>
      <xdr:colOff>507999</xdr:colOff>
      <xdr:row>0</xdr:row>
      <xdr:rowOff>669925</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3652500" y="12700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57150</xdr:colOff>
      <xdr:row>0</xdr:row>
      <xdr:rowOff>19050</xdr:rowOff>
    </xdr:from>
    <xdr:to>
      <xdr:col>6</xdr:col>
      <xdr:colOff>1104899</xdr:colOff>
      <xdr:row>2</xdr:row>
      <xdr:rowOff>66675</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11163300" y="190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28015</xdr:colOff>
      <xdr:row>46</xdr:row>
      <xdr:rowOff>131669</xdr:rowOff>
    </xdr:from>
    <xdr:to>
      <xdr:col>5</xdr:col>
      <xdr:colOff>2540935</xdr:colOff>
      <xdr:row>88</xdr:row>
      <xdr:rowOff>86847</xdr:rowOff>
    </xdr:to>
    <xdr:pic>
      <xdr:nvPicPr>
        <xdr:cNvPr id="2" name="Imagen 1">
          <a:extLst>
            <a:ext uri="{FF2B5EF4-FFF2-40B4-BE49-F238E27FC236}">
              <a16:creationId xmlns=""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cstate="print"/>
        <a:srcRect l="24653" t="15801" r="13154" b="4638"/>
        <a:stretch/>
      </xdr:blipFill>
      <xdr:spPr>
        <a:xfrm>
          <a:off x="332815" y="50185544"/>
          <a:ext cx="9951945" cy="7956178"/>
        </a:xfrm>
        <a:prstGeom prst="rect">
          <a:avLst/>
        </a:prstGeom>
      </xdr:spPr>
    </xdr:pic>
    <xdr:clientData/>
  </xdr:twoCellAnchor>
  <xdr:twoCellAnchor>
    <xdr:from>
      <xdr:col>6</xdr:col>
      <xdr:colOff>78441</xdr:colOff>
      <xdr:row>0</xdr:row>
      <xdr:rowOff>0</xdr:rowOff>
    </xdr:from>
    <xdr:to>
      <xdr:col>7</xdr:col>
      <xdr:colOff>677955</xdr:colOff>
      <xdr:row>0</xdr:row>
      <xdr:rowOff>542925</xdr:rowOff>
    </xdr:to>
    <xdr:sp macro="" textlink="">
      <xdr:nvSpPr>
        <xdr:cNvPr id="3" name="Flecha izquierda 2">
          <a:hlinkClick xmlns:r="http://schemas.openxmlformats.org/officeDocument/2006/relationships" r:id="rId2"/>
          <a:extLst>
            <a:ext uri="{FF2B5EF4-FFF2-40B4-BE49-F238E27FC236}">
              <a16:creationId xmlns="" xmlns:a16="http://schemas.microsoft.com/office/drawing/2014/main" id="{00000000-0008-0000-0D00-000003000000}"/>
            </a:ext>
          </a:extLst>
        </xdr:cNvPr>
        <xdr:cNvSpPr/>
      </xdr:nvSpPr>
      <xdr:spPr>
        <a:xfrm>
          <a:off x="10174941"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editAs="oneCell">
    <xdr:from>
      <xdr:col>6</xdr:col>
      <xdr:colOff>22412</xdr:colOff>
      <xdr:row>14</xdr:row>
      <xdr:rowOff>89646</xdr:rowOff>
    </xdr:from>
    <xdr:to>
      <xdr:col>9</xdr:col>
      <xdr:colOff>217380</xdr:colOff>
      <xdr:row>16</xdr:row>
      <xdr:rowOff>399292</xdr:rowOff>
    </xdr:to>
    <xdr:pic>
      <xdr:nvPicPr>
        <xdr:cNvPr id="5" name="Imagen 4" descr="Recorte de pantalla">
          <a:extLst>
            <a:ext uri="{FF2B5EF4-FFF2-40B4-BE49-F238E27FC236}">
              <a16:creationId xmlns="" xmlns:a16="http://schemas.microsoft.com/office/drawing/2014/main" id="{00000000-0008-0000-0D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18912" y="4022911"/>
          <a:ext cx="3915321" cy="2600688"/>
        </a:xfrm>
        <a:prstGeom prst="rect">
          <a:avLst/>
        </a:prstGeom>
      </xdr:spPr>
    </xdr:pic>
    <xdr:clientData/>
  </xdr:twoCellAnchor>
  <xdr:twoCellAnchor>
    <xdr:from>
      <xdr:col>0</xdr:col>
      <xdr:colOff>209550</xdr:colOff>
      <xdr:row>48</xdr:row>
      <xdr:rowOff>133350</xdr:rowOff>
    </xdr:from>
    <xdr:to>
      <xdr:col>1</xdr:col>
      <xdr:colOff>2095500</xdr:colOff>
      <xdr:row>56</xdr:row>
      <xdr:rowOff>38100</xdr:rowOff>
    </xdr:to>
    <xdr:sp macro="" textlink="">
      <xdr:nvSpPr>
        <xdr:cNvPr id="4" name="Rectángulo 3">
          <a:extLst>
            <a:ext uri="{FF2B5EF4-FFF2-40B4-BE49-F238E27FC236}">
              <a16:creationId xmlns="" xmlns:a16="http://schemas.microsoft.com/office/drawing/2014/main" id="{00000000-0008-0000-0D00-000004000000}"/>
            </a:ext>
          </a:extLst>
        </xdr:cNvPr>
        <xdr:cNvSpPr/>
      </xdr:nvSpPr>
      <xdr:spPr>
        <a:xfrm>
          <a:off x="209550" y="13134975"/>
          <a:ext cx="2190750" cy="14287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74083</xdr:colOff>
      <xdr:row>0</xdr:row>
      <xdr:rowOff>158750</xdr:rowOff>
    </xdr:from>
    <xdr:to>
      <xdr:col>10</xdr:col>
      <xdr:colOff>359832</xdr:colOff>
      <xdr:row>2</xdr:row>
      <xdr:rowOff>3175</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E00-000002000000}"/>
            </a:ext>
          </a:extLst>
        </xdr:cNvPr>
        <xdr:cNvSpPr/>
      </xdr:nvSpPr>
      <xdr:spPr>
        <a:xfrm>
          <a:off x="12774083" y="15875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29158</xdr:colOff>
      <xdr:row>0</xdr:row>
      <xdr:rowOff>29158</xdr:rowOff>
    </xdr:from>
    <xdr:to>
      <xdr:col>23</xdr:col>
      <xdr:colOff>318794</xdr:colOff>
      <xdr:row>1</xdr:row>
      <xdr:rowOff>134711</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F00-000002000000}"/>
            </a:ext>
          </a:extLst>
        </xdr:cNvPr>
        <xdr:cNvSpPr/>
      </xdr:nvSpPr>
      <xdr:spPr>
        <a:xfrm>
          <a:off x="13898724" y="2915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23813</xdr:colOff>
      <xdr:row>0</xdr:row>
      <xdr:rowOff>0</xdr:rowOff>
    </xdr:from>
    <xdr:to>
      <xdr:col>21</xdr:col>
      <xdr:colOff>1071562</xdr:colOff>
      <xdr:row>1</xdr:row>
      <xdr:rowOff>90487</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000-000002000000}"/>
            </a:ext>
          </a:extLst>
        </xdr:cNvPr>
        <xdr:cNvSpPr/>
      </xdr:nvSpPr>
      <xdr:spPr>
        <a:xfrm>
          <a:off x="17490282"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19</xdr:col>
      <xdr:colOff>114300</xdr:colOff>
      <xdr:row>0</xdr:row>
      <xdr:rowOff>50800</xdr:rowOff>
    </xdr:from>
    <xdr:to>
      <xdr:col>20</xdr:col>
      <xdr:colOff>406026</xdr:colOff>
      <xdr:row>1</xdr:row>
      <xdr:rowOff>112619</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100-000002000000}"/>
            </a:ext>
          </a:extLst>
        </xdr:cNvPr>
        <xdr:cNvSpPr/>
      </xdr:nvSpPr>
      <xdr:spPr>
        <a:xfrm>
          <a:off x="18084800" y="50800"/>
          <a:ext cx="1053726" cy="544419"/>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36</xdr:col>
      <xdr:colOff>51955</xdr:colOff>
      <xdr:row>0</xdr:row>
      <xdr:rowOff>69273</xdr:rowOff>
    </xdr:from>
    <xdr:to>
      <xdr:col>37</xdr:col>
      <xdr:colOff>337704</xdr:colOff>
      <xdr:row>1</xdr:row>
      <xdr:rowOff>317789</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200-000002000000}"/>
            </a:ext>
          </a:extLst>
        </xdr:cNvPr>
        <xdr:cNvSpPr/>
      </xdr:nvSpPr>
      <xdr:spPr>
        <a:xfrm>
          <a:off x="23812500" y="69273"/>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18</xdr:col>
      <xdr:colOff>142875</xdr:colOff>
      <xdr:row>0</xdr:row>
      <xdr:rowOff>83344</xdr:rowOff>
    </xdr:from>
    <xdr:to>
      <xdr:col>19</xdr:col>
      <xdr:colOff>95249</xdr:colOff>
      <xdr:row>1</xdr:row>
      <xdr:rowOff>42863</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300-000002000000}"/>
            </a:ext>
          </a:extLst>
        </xdr:cNvPr>
        <xdr:cNvSpPr/>
      </xdr:nvSpPr>
      <xdr:spPr>
        <a:xfrm>
          <a:off x="15180469" y="83344"/>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42334</xdr:colOff>
      <xdr:row>0</xdr:row>
      <xdr:rowOff>0</xdr:rowOff>
    </xdr:from>
    <xdr:to>
      <xdr:col>5</xdr:col>
      <xdr:colOff>126999</xdr:colOff>
      <xdr:row>1</xdr:row>
      <xdr:rowOff>172508</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1500-000002000000}"/>
            </a:ext>
          </a:extLst>
        </xdr:cNvPr>
        <xdr:cNvSpPr/>
      </xdr:nvSpPr>
      <xdr:spPr>
        <a:xfrm>
          <a:off x="824441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388327</xdr:colOff>
      <xdr:row>0</xdr:row>
      <xdr:rowOff>0</xdr:rowOff>
    </xdr:from>
    <xdr:to>
      <xdr:col>2</xdr:col>
      <xdr:colOff>405512</xdr:colOff>
      <xdr:row>2</xdr:row>
      <xdr:rowOff>219807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327" y="0"/>
          <a:ext cx="5798127" cy="10550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304800</xdr:rowOff>
    </xdr:from>
    <xdr:to>
      <xdr:col>3</xdr:col>
      <xdr:colOff>352423</xdr:colOff>
      <xdr:row>2</xdr:row>
      <xdr:rowOff>28575</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a:off x="10172700" y="304800"/>
          <a:ext cx="1047748"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59531</xdr:colOff>
      <xdr:row>0</xdr:row>
      <xdr:rowOff>71438</xdr:rowOff>
    </xdr:from>
    <xdr:to>
      <xdr:col>3</xdr:col>
      <xdr:colOff>1107280</xdr:colOff>
      <xdr:row>2</xdr:row>
      <xdr:rowOff>114300</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11775281" y="71438"/>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38100</xdr:colOff>
      <xdr:row>0</xdr:row>
      <xdr:rowOff>0</xdr:rowOff>
    </xdr:from>
    <xdr:to>
      <xdr:col>7</xdr:col>
      <xdr:colOff>1085849</xdr:colOff>
      <xdr:row>1</xdr:row>
      <xdr:rowOff>171450</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400-000002000000}"/>
            </a:ext>
          </a:extLst>
        </xdr:cNvPr>
        <xdr:cNvSpPr/>
      </xdr:nvSpPr>
      <xdr:spPr>
        <a:xfrm>
          <a:off x="11239500"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57150</xdr:colOff>
      <xdr:row>18</xdr:row>
      <xdr:rowOff>9525</xdr:rowOff>
    </xdr:from>
    <xdr:to>
      <xdr:col>10</xdr:col>
      <xdr:colOff>17736</xdr:colOff>
      <xdr:row>19</xdr:row>
      <xdr:rowOff>525908</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srcRect b="11706"/>
        <a:stretch/>
      </xdr:blipFill>
      <xdr:spPr>
        <a:xfrm>
          <a:off x="3324225" y="8258175"/>
          <a:ext cx="3724275" cy="1068834"/>
        </a:xfrm>
        <a:prstGeom prst="rect">
          <a:avLst/>
        </a:prstGeom>
      </xdr:spPr>
    </xdr:pic>
    <xdr:clientData/>
  </xdr:twoCellAnchor>
  <xdr:twoCellAnchor>
    <xdr:from>
      <xdr:col>21</xdr:col>
      <xdr:colOff>104775</xdr:colOff>
      <xdr:row>0</xdr:row>
      <xdr:rowOff>47625</xdr:rowOff>
    </xdr:from>
    <xdr:to>
      <xdr:col>22</xdr:col>
      <xdr:colOff>419099</xdr:colOff>
      <xdr:row>2</xdr:row>
      <xdr:rowOff>76200</xdr:rowOff>
    </xdr:to>
    <xdr:sp macro="" textlink="">
      <xdr:nvSpPr>
        <xdr:cNvPr id="3" name="Flecha izquierda 2">
          <a:hlinkClick xmlns:r="http://schemas.openxmlformats.org/officeDocument/2006/relationships" r:id="rId2"/>
          <a:extLst>
            <a:ext uri="{FF2B5EF4-FFF2-40B4-BE49-F238E27FC236}">
              <a16:creationId xmlns="" xmlns:a16="http://schemas.microsoft.com/office/drawing/2014/main" id="{00000000-0008-0000-0600-000003000000}"/>
            </a:ext>
          </a:extLst>
        </xdr:cNvPr>
        <xdr:cNvSpPr/>
      </xdr:nvSpPr>
      <xdr:spPr>
        <a:xfrm>
          <a:off x="14058900" y="4762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63500</xdr:colOff>
      <xdr:row>0</xdr:row>
      <xdr:rowOff>38100</xdr:rowOff>
    </xdr:from>
    <xdr:to>
      <xdr:col>15</xdr:col>
      <xdr:colOff>349249</xdr:colOff>
      <xdr:row>1</xdr:row>
      <xdr:rowOff>149225</xdr:rowOff>
    </xdr:to>
    <xdr:sp macro="" textlink="">
      <xdr:nvSpPr>
        <xdr:cNvPr id="3" name="Flecha izquierda 2">
          <a:hlinkClick xmlns:r="http://schemas.openxmlformats.org/officeDocument/2006/relationships" r:id="rId1"/>
          <a:extLst>
            <a:ext uri="{FF2B5EF4-FFF2-40B4-BE49-F238E27FC236}">
              <a16:creationId xmlns="" xmlns:a16="http://schemas.microsoft.com/office/drawing/2014/main" id="{00000000-0008-0000-0700-000003000000}"/>
            </a:ext>
          </a:extLst>
        </xdr:cNvPr>
        <xdr:cNvSpPr/>
      </xdr:nvSpPr>
      <xdr:spPr>
        <a:xfrm>
          <a:off x="17360900" y="38100"/>
          <a:ext cx="1047749" cy="53975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95250</xdr:colOff>
      <xdr:row>0</xdr:row>
      <xdr:rowOff>148167</xdr:rowOff>
    </xdr:from>
    <xdr:to>
      <xdr:col>13</xdr:col>
      <xdr:colOff>1142999</xdr:colOff>
      <xdr:row>2</xdr:row>
      <xdr:rowOff>77259</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12890500" y="148167"/>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63500</xdr:colOff>
      <xdr:row>0</xdr:row>
      <xdr:rowOff>0</xdr:rowOff>
    </xdr:from>
    <xdr:to>
      <xdr:col>16</xdr:col>
      <xdr:colOff>1111249</xdr:colOff>
      <xdr:row>1</xdr:row>
      <xdr:rowOff>172508</xdr:rowOff>
    </xdr:to>
    <xdr:sp macro="" textlink="">
      <xdr:nvSpPr>
        <xdr:cNvPr id="2" name="Flecha izquierda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1157816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rramientas%202020/2019%2001%2010Herramientas_de_Planificaci&#243;n%202020%20Version%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if/Desktop/poa%20200000021/Programacion%20029,%20subgrupo%2018%202021%20-%20cop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lanif/Desktop/poa%20200000021/Calculo%20Incidentes%20de%20reinstal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a selecciona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9"/>
      <sheetName val="029 (2)"/>
      <sheetName val="183"/>
      <sheetName val="183 (2)"/>
    </sheetNames>
    <sheetDataSet>
      <sheetData sheetId="0"/>
      <sheetData sheetId="1">
        <row r="121">
          <cell r="J121">
            <v>0</v>
          </cell>
          <cell r="K121">
            <v>14895</v>
          </cell>
          <cell r="L121">
            <v>90904</v>
          </cell>
          <cell r="M121">
            <v>100500</v>
          </cell>
          <cell r="N121">
            <v>109500</v>
          </cell>
          <cell r="O121">
            <v>109500</v>
          </cell>
          <cell r="P121">
            <v>105000</v>
          </cell>
          <cell r="Q121">
            <v>105000</v>
          </cell>
          <cell r="R121">
            <v>105000</v>
          </cell>
          <cell r="S121">
            <v>105000</v>
          </cell>
          <cell r="T121">
            <v>105000</v>
          </cell>
          <cell r="U121">
            <v>105000</v>
          </cell>
        </row>
        <row r="122">
          <cell r="J122">
            <v>0</v>
          </cell>
          <cell r="K122">
            <v>10270</v>
          </cell>
          <cell r="L122">
            <v>38500</v>
          </cell>
          <cell r="M122">
            <v>38500</v>
          </cell>
          <cell r="N122">
            <v>64000</v>
          </cell>
          <cell r="O122">
            <v>64000</v>
          </cell>
          <cell r="P122">
            <v>64000</v>
          </cell>
          <cell r="Q122">
            <v>64000</v>
          </cell>
          <cell r="R122">
            <v>64000</v>
          </cell>
          <cell r="S122">
            <v>64000</v>
          </cell>
          <cell r="T122">
            <v>64000</v>
          </cell>
          <cell r="U122">
            <v>64000</v>
          </cell>
        </row>
        <row r="123">
          <cell r="J123">
            <v>0</v>
          </cell>
          <cell r="K123">
            <v>13968</v>
          </cell>
          <cell r="L123">
            <v>79243</v>
          </cell>
          <cell r="M123">
            <v>85000</v>
          </cell>
          <cell r="N123">
            <v>93500</v>
          </cell>
          <cell r="O123">
            <v>93500</v>
          </cell>
          <cell r="P123">
            <v>93500</v>
          </cell>
          <cell r="Q123">
            <v>93500</v>
          </cell>
          <cell r="R123">
            <v>93500</v>
          </cell>
          <cell r="S123">
            <v>93500</v>
          </cell>
          <cell r="T123">
            <v>93500</v>
          </cell>
          <cell r="U123">
            <v>93500</v>
          </cell>
        </row>
      </sheetData>
      <sheetData sheetId="2"/>
      <sheetData sheetId="3">
        <row r="85">
          <cell r="K85">
            <v>0</v>
          </cell>
          <cell r="L85">
            <v>3752</v>
          </cell>
          <cell r="M85">
            <v>85017</v>
          </cell>
          <cell r="N85">
            <v>91000</v>
          </cell>
          <cell r="O85">
            <v>108000</v>
          </cell>
          <cell r="P85">
            <v>108000</v>
          </cell>
          <cell r="Q85">
            <v>125000</v>
          </cell>
          <cell r="R85">
            <v>125000</v>
          </cell>
          <cell r="S85">
            <v>125000</v>
          </cell>
          <cell r="T85">
            <v>125000</v>
          </cell>
          <cell r="U85">
            <v>125000</v>
          </cell>
          <cell r="V85">
            <v>125000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lvia Elias Oficial"/>
      <sheetName val="Shirley Sinay Oficial"/>
      <sheetName val="CUADRO 029 Y 183 (3)"/>
      <sheetName val="Ruth-- Delfina"/>
      <sheetName val="Shirley Sinay 2021"/>
      <sheetName val="CUADRO 029 Y 183 (2)"/>
      <sheetName val="propuesta"/>
      <sheetName val="Silvia Elias"/>
      <sheetName val="029 Veronica y Maria"/>
      <sheetName val="CUADRO 029 Y 183"/>
      <sheetName val="CUADRO 011"/>
      <sheetName val="Hoja1"/>
      <sheetName val="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D8">
            <v>1391568.6228842875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minfin.gob.gt/images/downloads/leyes_manuales/manuales_dtp/guia_conceptual_gestion_resultados.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as.org/juridico/spanish/tratados/a-61.html" TargetMode="External"/><Relationship Id="rId1" Type="http://schemas.openxmlformats.org/officeDocument/2006/relationships/hyperlink" Target="http://daccess-dds-ny.un.org/doc/UNDOC/GEN/N08/391/47/PDF/N0839147.pdf?OpenElemen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1:M21"/>
  <sheetViews>
    <sheetView showGridLines="0" zoomScale="60" zoomScaleNormal="60" zoomScaleSheetLayoutView="90" workbookViewId="0">
      <selection activeCell="D28" sqref="D28"/>
    </sheetView>
  </sheetViews>
  <sheetFormatPr baseColWidth="10" defaultColWidth="11.44140625" defaultRowHeight="13.2" x14ac:dyDescent="0.25"/>
  <cols>
    <col min="1" max="2" width="11.44140625" style="7"/>
    <col min="3" max="3" width="12.33203125" style="7" bestFit="1" customWidth="1"/>
    <col min="4" max="4" width="20.5546875" style="7" customWidth="1"/>
    <col min="5" max="5" width="22.33203125" style="7" customWidth="1"/>
    <col min="6" max="6" width="16.44140625" style="7" customWidth="1"/>
    <col min="7" max="7" width="16.5546875" style="7" customWidth="1"/>
    <col min="8" max="8" width="9.5546875" style="7" customWidth="1"/>
    <col min="9" max="9" width="14.6640625" style="7" customWidth="1"/>
    <col min="10" max="10" width="15.33203125" style="7" customWidth="1"/>
    <col min="11" max="16384" width="11.44140625" style="7"/>
  </cols>
  <sheetData>
    <row r="1" spans="2:10" ht="21" customHeight="1" thickBot="1" x14ac:dyDescent="0.3"/>
    <row r="2" spans="2:10" s="3" customFormat="1" ht="22.5" customHeight="1" x14ac:dyDescent="0.35">
      <c r="B2" s="156"/>
      <c r="C2" s="156"/>
      <c r="D2" s="981" t="s">
        <v>353</v>
      </c>
      <c r="E2" s="982"/>
      <c r="F2" s="982"/>
      <c r="G2" s="982"/>
      <c r="H2" s="983"/>
      <c r="I2" s="275"/>
    </row>
    <row r="3" spans="2:10" s="3" customFormat="1" ht="76.5" customHeight="1" thickBot="1" x14ac:dyDescent="0.4">
      <c r="B3" s="156"/>
      <c r="C3" s="156"/>
      <c r="D3" s="984"/>
      <c r="E3" s="985"/>
      <c r="F3" s="985"/>
      <c r="G3" s="985"/>
      <c r="H3" s="986"/>
      <c r="I3" s="275"/>
    </row>
    <row r="4" spans="2:10" s="3" customFormat="1" ht="22.2" x14ac:dyDescent="0.35"/>
    <row r="5" spans="2:10" s="3" customFormat="1" ht="22.2" x14ac:dyDescent="0.35"/>
    <row r="6" spans="2:10" s="3" customFormat="1" ht="22.2" x14ac:dyDescent="0.35"/>
    <row r="7" spans="2:10" s="3" customFormat="1" ht="22.8" thickBot="1" x14ac:dyDescent="0.4"/>
    <row r="8" spans="2:10" s="3" customFormat="1" ht="95.25" customHeight="1" thickBot="1" x14ac:dyDescent="0.4">
      <c r="B8" s="990" t="s">
        <v>339</v>
      </c>
      <c r="C8" s="991"/>
      <c r="D8" s="991"/>
      <c r="E8" s="991"/>
      <c r="F8" s="991"/>
      <c r="G8" s="991"/>
      <c r="H8" s="991"/>
      <c r="I8" s="991"/>
      <c r="J8" s="992"/>
    </row>
    <row r="9" spans="2:10" s="3" customFormat="1" ht="27.6" x14ac:dyDescent="0.35">
      <c r="C9" s="989"/>
      <c r="D9" s="989"/>
      <c r="E9" s="989"/>
      <c r="F9" s="989"/>
      <c r="G9" s="989"/>
      <c r="H9" s="989"/>
      <c r="I9" s="989"/>
      <c r="J9" s="989"/>
    </row>
    <row r="10" spans="2:10" s="3" customFormat="1" ht="27.6" x14ac:dyDescent="0.35">
      <c r="C10" s="128"/>
      <c r="D10" s="128"/>
      <c r="E10" s="128"/>
      <c r="F10" s="128"/>
      <c r="G10" s="128"/>
      <c r="H10" s="128"/>
      <c r="I10" s="128"/>
      <c r="J10" s="128"/>
    </row>
    <row r="11" spans="2:10" s="4" customFormat="1" ht="27" customHeight="1" x14ac:dyDescent="0.4">
      <c r="B11" s="993" t="s">
        <v>44</v>
      </c>
      <c r="C11" s="993"/>
      <c r="D11" s="993"/>
      <c r="E11" s="993"/>
      <c r="F11" s="993"/>
      <c r="G11" s="993"/>
      <c r="H11" s="993"/>
      <c r="I11" s="993"/>
      <c r="J11" s="993"/>
    </row>
    <row r="12" spans="2:10" s="4" customFormat="1" ht="27" customHeight="1" x14ac:dyDescent="0.4">
      <c r="B12" s="993" t="s">
        <v>46</v>
      </c>
      <c r="C12" s="993"/>
      <c r="D12" s="993"/>
      <c r="E12" s="993"/>
      <c r="F12" s="993"/>
      <c r="G12" s="993"/>
      <c r="H12" s="993"/>
      <c r="I12" s="993"/>
      <c r="J12" s="993"/>
    </row>
    <row r="13" spans="2:10" s="4" customFormat="1" ht="27" customHeight="1" x14ac:dyDescent="0.4">
      <c r="B13" s="993" t="s">
        <v>45</v>
      </c>
      <c r="C13" s="993"/>
      <c r="D13" s="993"/>
      <c r="E13" s="993"/>
      <c r="F13" s="993"/>
      <c r="G13" s="993"/>
      <c r="H13" s="993"/>
      <c r="I13" s="993"/>
      <c r="J13" s="993"/>
    </row>
    <row r="14" spans="2:10" s="4" customFormat="1" ht="22.8" x14ac:dyDescent="0.4">
      <c r="B14" s="198"/>
      <c r="C14" s="199"/>
      <c r="D14" s="198"/>
      <c r="E14" s="198"/>
      <c r="F14" s="198"/>
      <c r="G14" s="198"/>
      <c r="H14" s="198"/>
      <c r="I14" s="198"/>
      <c r="J14" s="198"/>
    </row>
    <row r="15" spans="2:10" s="4" customFormat="1" ht="22.8" x14ac:dyDescent="0.4">
      <c r="B15" s="198"/>
      <c r="C15" s="199"/>
      <c r="D15" s="198"/>
      <c r="E15" s="198"/>
      <c r="F15" s="198"/>
      <c r="G15" s="198"/>
      <c r="H15" s="198"/>
      <c r="I15" s="198"/>
      <c r="J15" s="198"/>
    </row>
    <row r="16" spans="2:10" s="4" customFormat="1" ht="22.8" x14ac:dyDescent="0.4">
      <c r="B16" s="988" t="s">
        <v>354</v>
      </c>
      <c r="C16" s="988"/>
      <c r="D16" s="988"/>
      <c r="E16" s="988"/>
      <c r="F16" s="988"/>
      <c r="G16" s="988"/>
      <c r="H16" s="988"/>
      <c r="I16" s="988"/>
      <c r="J16" s="988"/>
    </row>
    <row r="17" spans="1:13" s="4" customFormat="1" ht="22.8" x14ac:dyDescent="0.4"/>
    <row r="18" spans="1:13" s="5" customFormat="1" ht="22.8" x14ac:dyDescent="0.4">
      <c r="D18" s="6"/>
    </row>
    <row r="19" spans="1:13" s="5" customFormat="1" ht="22.8" x14ac:dyDescent="0.4"/>
    <row r="20" spans="1:13" s="5" customFormat="1" ht="22.5" customHeight="1" x14ac:dyDescent="0.4">
      <c r="A20" s="253"/>
      <c r="B20" s="987" t="s">
        <v>393</v>
      </c>
      <c r="C20" s="987"/>
      <c r="D20" s="987"/>
      <c r="E20" s="987"/>
      <c r="F20" s="987"/>
      <c r="G20" s="987"/>
      <c r="H20" s="987"/>
      <c r="I20" s="987"/>
      <c r="J20" s="987"/>
    </row>
    <row r="21" spans="1:13" s="3" customFormat="1" ht="22.2" x14ac:dyDescent="0.35">
      <c r="A21" s="253"/>
      <c r="B21" s="253"/>
      <c r="C21" s="253"/>
      <c r="D21" s="253"/>
      <c r="E21" s="253"/>
      <c r="F21" s="253"/>
      <c r="G21" s="253"/>
      <c r="H21" s="253"/>
      <c r="I21" s="253"/>
      <c r="J21" s="248"/>
      <c r="K21" s="248"/>
      <c r="L21" s="248"/>
      <c r="M21" s="248"/>
    </row>
  </sheetData>
  <customSheetViews>
    <customSheetView guid="{4FD28BFF-A4CF-416E-91D3-B2989AA79332}" scale="90" showGridLines="0" showRuler="0">
      <selection activeCell="D16" sqref="D16"/>
      <pageMargins left="0.70866141732283472" right="0.70866141732283472" top="0.74803149606299213" bottom="0.74803149606299213" header="0.31496062992125984" footer="0.31496062992125984"/>
      <pageSetup paperSize="9" orientation="landscape" r:id="rId1"/>
      <headerFooter alignWithMargins="0"/>
    </customSheetView>
  </customSheetViews>
  <mergeCells count="8">
    <mergeCell ref="D2:H3"/>
    <mergeCell ref="B20:J20"/>
    <mergeCell ref="B16:J16"/>
    <mergeCell ref="C9:J9"/>
    <mergeCell ref="B8:J8"/>
    <mergeCell ref="B11:J11"/>
    <mergeCell ref="B12:J12"/>
    <mergeCell ref="B13:J13"/>
  </mergeCells>
  <phoneticPr fontId="40" type="noConversion"/>
  <printOptions horizontalCentered="1" verticalCentered="1"/>
  <pageMargins left="0.70866141732283472" right="0.70866141732283472" top="0.74803149606299213" bottom="0.74803149606299213" header="0.31496062992125984" footer="0.31496062992125984"/>
  <pageSetup paperSize="9" scale="96"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sheetPr>
  <dimension ref="A1:Q23"/>
  <sheetViews>
    <sheetView view="pageBreakPreview" zoomScale="80" zoomScaleNormal="80" zoomScaleSheetLayoutView="80" workbookViewId="0">
      <selection activeCell="A6" sqref="A6"/>
    </sheetView>
  </sheetViews>
  <sheetFormatPr baseColWidth="10" defaultColWidth="11.44140625" defaultRowHeight="15" x14ac:dyDescent="0.25"/>
  <cols>
    <col min="1" max="1" width="17.5546875" style="41" customWidth="1"/>
    <col min="2" max="4" width="16.109375" style="41" customWidth="1"/>
    <col min="5" max="5" width="16.44140625" style="41" customWidth="1"/>
    <col min="6" max="6" width="27.5546875" style="41" customWidth="1"/>
    <col min="7" max="7" width="5.88671875" style="41" customWidth="1"/>
    <col min="8" max="8" width="6.44140625" style="41" customWidth="1"/>
    <col min="9" max="9" width="6" style="41" customWidth="1"/>
    <col min="10" max="10" width="16.44140625" style="41" customWidth="1"/>
    <col min="11" max="11" width="10.33203125" style="41" customWidth="1"/>
    <col min="12" max="12" width="12" style="41" customWidth="1"/>
    <col min="13" max="13" width="12.33203125" style="41" customWidth="1"/>
    <col min="14" max="14" width="15.44140625" style="41" customWidth="1"/>
    <col min="15" max="15" width="14" style="42" customWidth="1"/>
    <col min="16" max="16" width="13.44140625" style="42" customWidth="1"/>
    <col min="17" max="17" width="18.109375" style="41" customWidth="1"/>
    <col min="18" max="16384" width="11.44140625" style="42"/>
  </cols>
  <sheetData>
    <row r="1" spans="1:17" ht="29.25" customHeight="1" thickBot="1" x14ac:dyDescent="0.3">
      <c r="A1" s="1168" t="s">
        <v>148</v>
      </c>
      <c r="B1" s="1169"/>
      <c r="C1" s="1169"/>
      <c r="D1" s="1169"/>
      <c r="E1" s="1169"/>
      <c r="F1" s="1169"/>
      <c r="G1" s="1169"/>
      <c r="H1" s="1169"/>
      <c r="I1" s="1169"/>
      <c r="J1" s="1169"/>
      <c r="K1" s="1169"/>
      <c r="L1" s="1169"/>
      <c r="M1" s="1169"/>
      <c r="N1" s="1169"/>
      <c r="O1" s="1170"/>
      <c r="P1" s="271" t="s">
        <v>378</v>
      </c>
      <c r="Q1" s="42"/>
    </row>
    <row r="2" spans="1:17" ht="20.25" customHeight="1" thickBot="1" x14ac:dyDescent="0.3">
      <c r="A2" s="21"/>
      <c r="B2" s="21"/>
      <c r="C2" s="21"/>
      <c r="D2" s="21"/>
      <c r="E2" s="21"/>
      <c r="F2" s="36"/>
      <c r="G2" s="21"/>
      <c r="H2" s="21"/>
      <c r="I2" s="21"/>
      <c r="J2" s="22"/>
      <c r="K2" s="22"/>
      <c r="L2" s="22"/>
      <c r="M2" s="22"/>
      <c r="N2" s="22"/>
      <c r="O2" s="22"/>
      <c r="P2" s="22"/>
      <c r="Q2" s="22"/>
    </row>
    <row r="3" spans="1:17" ht="41.25" customHeight="1" x14ac:dyDescent="0.25">
      <c r="A3" s="1177" t="s">
        <v>149</v>
      </c>
      <c r="B3" s="1178"/>
      <c r="C3" s="1178"/>
      <c r="D3" s="1178"/>
      <c r="E3" s="1171"/>
      <c r="F3" s="1171" t="s">
        <v>66</v>
      </c>
      <c r="G3" s="1171"/>
      <c r="H3" s="1171"/>
      <c r="I3" s="1171"/>
      <c r="J3" s="1171" t="s">
        <v>11</v>
      </c>
      <c r="K3" s="1171" t="s">
        <v>93</v>
      </c>
      <c r="L3" s="1171"/>
      <c r="M3" s="1171"/>
      <c r="N3" s="1171" t="s">
        <v>6</v>
      </c>
      <c r="O3" s="1171" t="s">
        <v>151</v>
      </c>
      <c r="P3" s="1181"/>
      <c r="Q3" s="42"/>
    </row>
    <row r="4" spans="1:17" ht="41.25" customHeight="1" x14ac:dyDescent="0.25">
      <c r="A4" s="1179"/>
      <c r="B4" s="1180"/>
      <c r="C4" s="1180"/>
      <c r="D4" s="1180"/>
      <c r="E4" s="1172"/>
      <c r="F4" s="1172" t="s">
        <v>155</v>
      </c>
      <c r="G4" s="1172" t="s">
        <v>157</v>
      </c>
      <c r="H4" s="1172"/>
      <c r="I4" s="1172"/>
      <c r="J4" s="1172"/>
      <c r="K4" s="1172"/>
      <c r="L4" s="1172"/>
      <c r="M4" s="1172"/>
      <c r="N4" s="1172"/>
      <c r="O4" s="1172"/>
      <c r="P4" s="1182"/>
      <c r="Q4" s="42"/>
    </row>
    <row r="5" spans="1:17" ht="74.25" customHeight="1" thickBot="1" x14ac:dyDescent="0.3">
      <c r="A5" s="209" t="s">
        <v>356</v>
      </c>
      <c r="B5" s="240" t="s">
        <v>361</v>
      </c>
      <c r="C5" s="240" t="s">
        <v>442</v>
      </c>
      <c r="D5" s="240" t="s">
        <v>359</v>
      </c>
      <c r="E5" s="236" t="s">
        <v>360</v>
      </c>
      <c r="F5" s="1173"/>
      <c r="G5" s="211" t="s">
        <v>147</v>
      </c>
      <c r="H5" s="211" t="s">
        <v>433</v>
      </c>
      <c r="I5" s="211" t="s">
        <v>154</v>
      </c>
      <c r="J5" s="1173"/>
      <c r="K5" s="210" t="s">
        <v>52</v>
      </c>
      <c r="L5" s="210" t="s">
        <v>150</v>
      </c>
      <c r="M5" s="210" t="s">
        <v>153</v>
      </c>
      <c r="N5" s="1173"/>
      <c r="O5" s="210" t="s">
        <v>150</v>
      </c>
      <c r="P5" s="212" t="s">
        <v>152</v>
      </c>
      <c r="Q5" s="42"/>
    </row>
    <row r="6" spans="1:17" ht="224.25" customHeight="1" x14ac:dyDescent="0.25">
      <c r="A6" s="92" t="s">
        <v>824</v>
      </c>
      <c r="B6" s="92" t="s">
        <v>825</v>
      </c>
      <c r="C6" s="92" t="s">
        <v>826</v>
      </c>
      <c r="D6" s="92" t="s">
        <v>827</v>
      </c>
      <c r="E6" s="92" t="s">
        <v>828</v>
      </c>
      <c r="F6" s="92" t="s">
        <v>821</v>
      </c>
      <c r="G6" s="92" t="s">
        <v>643</v>
      </c>
      <c r="H6" s="92"/>
      <c r="I6" s="92"/>
      <c r="J6" s="542" t="s">
        <v>822</v>
      </c>
      <c r="K6" s="94">
        <v>2017</v>
      </c>
      <c r="L6" s="94">
        <v>10779</v>
      </c>
      <c r="M6" s="94">
        <v>0</v>
      </c>
      <c r="N6" s="94" t="s">
        <v>823</v>
      </c>
      <c r="O6" s="93">
        <v>11641</v>
      </c>
      <c r="P6" s="94">
        <v>0.08</v>
      </c>
      <c r="Q6" s="42"/>
    </row>
    <row r="7" spans="1:17" ht="195.75" customHeight="1" x14ac:dyDescent="0.25">
      <c r="A7" s="89" t="s">
        <v>829</v>
      </c>
      <c r="B7" s="89" t="s">
        <v>830</v>
      </c>
      <c r="C7" s="89" t="s">
        <v>831</v>
      </c>
      <c r="D7" s="89" t="s">
        <v>827</v>
      </c>
      <c r="E7" s="89" t="s">
        <v>832</v>
      </c>
      <c r="F7" s="89"/>
      <c r="G7" s="89"/>
      <c r="H7" s="89"/>
      <c r="I7" s="89"/>
      <c r="J7" s="90"/>
      <c r="K7" s="91"/>
      <c r="L7" s="91"/>
      <c r="M7" s="91"/>
      <c r="N7" s="91"/>
      <c r="O7" s="90"/>
      <c r="P7" s="91"/>
      <c r="Q7" s="42"/>
    </row>
    <row r="8" spans="1:17" ht="60" customHeight="1" x14ac:dyDescent="0.25">
      <c r="A8" s="89"/>
      <c r="B8" s="89"/>
      <c r="C8" s="89"/>
      <c r="D8" s="89"/>
      <c r="E8" s="89"/>
      <c r="F8" s="89"/>
      <c r="G8" s="89"/>
      <c r="H8" s="89"/>
      <c r="I8" s="89"/>
      <c r="J8" s="90"/>
      <c r="K8" s="91"/>
      <c r="L8" s="91"/>
      <c r="M8" s="91"/>
      <c r="N8" s="91"/>
      <c r="O8" s="90"/>
      <c r="P8" s="91"/>
      <c r="Q8" s="42"/>
    </row>
    <row r="9" spans="1:17" ht="60" customHeight="1" x14ac:dyDescent="0.25">
      <c r="A9" s="89"/>
      <c r="B9" s="89"/>
      <c r="C9" s="89"/>
      <c r="D9" s="89"/>
      <c r="E9" s="89"/>
      <c r="F9" s="89"/>
      <c r="G9" s="89"/>
      <c r="H9" s="89"/>
      <c r="I9" s="89"/>
      <c r="J9" s="90"/>
      <c r="K9" s="91"/>
      <c r="L9" s="91"/>
      <c r="M9" s="91"/>
      <c r="N9" s="91"/>
      <c r="O9" s="90"/>
      <c r="P9" s="91"/>
      <c r="Q9" s="42"/>
    </row>
    <row r="10" spans="1:17" ht="60" customHeight="1" x14ac:dyDescent="0.25">
      <c r="A10" s="89"/>
      <c r="B10" s="89"/>
      <c r="C10" s="89"/>
      <c r="D10" s="89"/>
      <c r="E10" s="89"/>
      <c r="F10" s="89"/>
      <c r="G10" s="89"/>
      <c r="H10" s="89"/>
      <c r="I10" s="89"/>
      <c r="J10" s="90"/>
      <c r="K10" s="91"/>
      <c r="L10" s="91"/>
      <c r="M10" s="91"/>
      <c r="N10" s="91"/>
      <c r="O10" s="90"/>
      <c r="P10" s="91"/>
      <c r="Q10" s="42"/>
    </row>
    <row r="11" spans="1:17" ht="60" customHeight="1" x14ac:dyDescent="0.25">
      <c r="A11" s="89"/>
      <c r="B11" s="89"/>
      <c r="C11" s="89"/>
      <c r="D11" s="89"/>
      <c r="E11" s="89"/>
      <c r="F11" s="89"/>
      <c r="G11" s="89"/>
      <c r="H11" s="89"/>
      <c r="I11" s="89"/>
      <c r="J11" s="90"/>
      <c r="K11" s="91"/>
      <c r="L11" s="91"/>
      <c r="M11" s="91"/>
      <c r="N11" s="91"/>
      <c r="O11" s="90"/>
      <c r="P11" s="91"/>
      <c r="Q11" s="42"/>
    </row>
    <row r="12" spans="1:17" ht="20.25" customHeight="1" thickBot="1" x14ac:dyDescent="0.3">
      <c r="O12" s="43"/>
      <c r="P12" s="43"/>
      <c r="Q12" s="42"/>
    </row>
    <row r="13" spans="1:17" ht="45.75" customHeight="1" thickBot="1" x14ac:dyDescent="0.3">
      <c r="A13" s="213" t="s">
        <v>57</v>
      </c>
      <c r="B13" s="241"/>
      <c r="C13" s="241"/>
      <c r="D13" s="241"/>
      <c r="E13" s="1174" t="s">
        <v>431</v>
      </c>
      <c r="F13" s="1175"/>
      <c r="G13" s="1175"/>
      <c r="H13" s="1175"/>
      <c r="I13" s="1175"/>
      <c r="J13" s="1175"/>
      <c r="K13" s="1175"/>
      <c r="L13" s="1175"/>
      <c r="M13" s="1175"/>
      <c r="N13" s="1175"/>
      <c r="O13" s="1175"/>
      <c r="P13" s="1176"/>
      <c r="Q13" s="42"/>
    </row>
    <row r="16" spans="1:17" ht="21" x14ac:dyDescent="0.4">
      <c r="L16" s="44"/>
    </row>
    <row r="17" spans="2:3" ht="15" customHeight="1" x14ac:dyDescent="0.25"/>
    <row r="18" spans="2:3" ht="15" customHeight="1" thickBot="1" x14ac:dyDescent="0.3"/>
    <row r="19" spans="2:3" ht="15" customHeight="1" thickTop="1" thickBot="1" x14ac:dyDescent="0.3">
      <c r="B19" s="239" t="s">
        <v>356</v>
      </c>
      <c r="C19" s="270"/>
    </row>
    <row r="20" spans="2:3" ht="15" customHeight="1" thickTop="1" thickBot="1" x14ac:dyDescent="0.3">
      <c r="B20" s="239" t="s">
        <v>357</v>
      </c>
      <c r="C20" s="270"/>
    </row>
    <row r="21" spans="2:3" ht="32.4" thickTop="1" thickBot="1" x14ac:dyDescent="0.3">
      <c r="B21" s="239" t="s">
        <v>432</v>
      </c>
      <c r="C21" s="270"/>
    </row>
    <row r="22" spans="2:3" ht="32.4" thickTop="1" thickBot="1" x14ac:dyDescent="0.3">
      <c r="B22" s="239" t="s">
        <v>358</v>
      </c>
      <c r="C22" s="270"/>
    </row>
    <row r="23" spans="2:3" ht="15.6" thickTop="1" x14ac:dyDescent="0.25"/>
  </sheetData>
  <mergeCells count="10">
    <mergeCell ref="A1:O1"/>
    <mergeCell ref="J3:J5"/>
    <mergeCell ref="N3:N5"/>
    <mergeCell ref="E13:P13"/>
    <mergeCell ref="G4:I4"/>
    <mergeCell ref="F3:I3"/>
    <mergeCell ref="A3:E4"/>
    <mergeCell ref="K3:M4"/>
    <mergeCell ref="O3:P4"/>
    <mergeCell ref="F4:F5"/>
  </mergeCells>
  <printOptions horizontalCentered="1"/>
  <pageMargins left="0.31496062992125984" right="0.31496062992125984" top="0.98425196850393704" bottom="0.98425196850393704" header="0" footer="0"/>
  <pageSetup scale="60" orientation="landscape" r:id="rId1"/>
  <headerFooter alignWithMargins="0"/>
  <colBreaks count="1" manualBreakCount="1">
    <brk id="16" max="1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sheetPr>
  <dimension ref="A1:W48"/>
  <sheetViews>
    <sheetView view="pageBreakPreview" topLeftCell="A10" zoomScale="60" zoomScaleNormal="70" workbookViewId="0">
      <selection activeCell="H77" sqref="H77"/>
    </sheetView>
  </sheetViews>
  <sheetFormatPr baseColWidth="10" defaultColWidth="11.44140625" defaultRowHeight="13.2" x14ac:dyDescent="0.25"/>
  <cols>
    <col min="1" max="1" width="46.88671875" style="40" customWidth="1"/>
    <col min="2" max="2" width="27.33203125" style="40" customWidth="1"/>
    <col min="3" max="3" width="20.33203125" style="40" customWidth="1"/>
    <col min="4" max="4" width="26" style="40" customWidth="1"/>
    <col min="5" max="5" width="24.109375" style="40" customWidth="1"/>
    <col min="6" max="6" width="4.5546875" style="40" customWidth="1"/>
    <col min="7" max="7" width="13.6640625" style="40" customWidth="1"/>
    <col min="8" max="8" width="29.33203125" style="40" customWidth="1"/>
    <col min="9" max="9" width="9.33203125" style="40" customWidth="1"/>
    <col min="10" max="16384" width="11.44140625" style="40"/>
  </cols>
  <sheetData>
    <row r="1" spans="1:23" ht="69.75" customHeight="1" x14ac:dyDescent="0.5">
      <c r="A1" s="1207" t="s">
        <v>49</v>
      </c>
      <c r="B1" s="1208"/>
      <c r="C1" s="1208"/>
      <c r="D1" s="1208"/>
      <c r="E1" s="1208"/>
      <c r="F1" s="1208"/>
      <c r="G1" s="1208"/>
      <c r="H1" s="489" t="s">
        <v>379</v>
      </c>
      <c r="I1" s="45"/>
      <c r="J1" s="46"/>
      <c r="K1" s="46"/>
    </row>
    <row r="2" spans="1:23" ht="23.4" thickBot="1" x14ac:dyDescent="0.45">
      <c r="A2" s="1225" t="s">
        <v>694</v>
      </c>
      <c r="B2" s="1225"/>
      <c r="C2" s="1225"/>
      <c r="D2" s="1225"/>
      <c r="E2" s="1225"/>
      <c r="F2" s="1225"/>
      <c r="G2" s="1225"/>
      <c r="H2" s="1226"/>
      <c r="I2" s="488"/>
      <c r="J2" s="488"/>
      <c r="K2" s="488"/>
      <c r="L2" s="488"/>
      <c r="M2" s="488"/>
      <c r="N2" s="46"/>
      <c r="O2" s="46"/>
      <c r="P2" s="46"/>
      <c r="Q2" s="46"/>
      <c r="R2" s="46"/>
      <c r="S2" s="46"/>
      <c r="T2" s="46"/>
      <c r="U2" s="46"/>
      <c r="V2" s="46"/>
      <c r="W2" s="46"/>
    </row>
    <row r="3" spans="1:23" ht="90" customHeight="1" x14ac:dyDescent="0.25">
      <c r="A3" s="454" t="s">
        <v>24</v>
      </c>
      <c r="B3" s="1227" t="s">
        <v>692</v>
      </c>
      <c r="C3" s="1227"/>
      <c r="D3" s="1227"/>
      <c r="E3" s="1227"/>
      <c r="F3" s="1227"/>
      <c r="G3" s="1227"/>
      <c r="H3" s="1228"/>
      <c r="I3" s="488"/>
      <c r="J3" s="491"/>
      <c r="K3" s="491"/>
      <c r="L3" s="491"/>
      <c r="M3" s="491"/>
      <c r="N3" s="48"/>
      <c r="O3" s="46"/>
      <c r="P3" s="46"/>
      <c r="Q3" s="46"/>
      <c r="R3" s="46"/>
      <c r="S3" s="46"/>
      <c r="T3" s="46"/>
      <c r="U3" s="46"/>
      <c r="V3" s="46"/>
      <c r="W3" s="46"/>
    </row>
    <row r="4" spans="1:23" ht="90" customHeight="1" x14ac:dyDescent="0.25">
      <c r="A4" s="493" t="s">
        <v>32</v>
      </c>
      <c r="B4" s="1232" t="s">
        <v>50</v>
      </c>
      <c r="C4" s="1232"/>
      <c r="D4" s="1232"/>
      <c r="E4" s="1232"/>
      <c r="F4" s="1232"/>
      <c r="G4" s="1232"/>
      <c r="H4" s="1233"/>
      <c r="I4" s="488"/>
      <c r="J4" s="492"/>
      <c r="K4" s="492"/>
      <c r="L4" s="491"/>
      <c r="M4" s="491"/>
      <c r="N4" s="48"/>
      <c r="O4" s="46"/>
      <c r="P4" s="46"/>
      <c r="Q4" s="46"/>
      <c r="R4" s="46"/>
      <c r="S4" s="46"/>
      <c r="T4" s="46"/>
      <c r="U4" s="46"/>
      <c r="V4" s="46"/>
      <c r="W4" s="46"/>
    </row>
    <row r="5" spans="1:23" ht="90" customHeight="1" x14ac:dyDescent="0.25">
      <c r="A5" s="493" t="s">
        <v>434</v>
      </c>
      <c r="B5" s="1239" t="s">
        <v>693</v>
      </c>
      <c r="C5" s="1240"/>
      <c r="D5" s="1240"/>
      <c r="E5" s="1240"/>
      <c r="F5" s="1240"/>
      <c r="G5" s="1240"/>
      <c r="H5" s="1241"/>
      <c r="I5" s="488"/>
      <c r="J5" s="492"/>
      <c r="K5" s="492"/>
      <c r="L5" s="491"/>
      <c r="M5" s="491"/>
      <c r="N5" s="48"/>
      <c r="O5" s="46"/>
      <c r="P5" s="46"/>
      <c r="Q5" s="46"/>
      <c r="R5" s="46"/>
      <c r="S5" s="46"/>
      <c r="T5" s="46"/>
      <c r="U5" s="46"/>
      <c r="V5" s="46"/>
      <c r="W5" s="46"/>
    </row>
    <row r="6" spans="1:23" ht="90" customHeight="1" thickBot="1" x14ac:dyDescent="0.3">
      <c r="A6" s="456" t="s">
        <v>25</v>
      </c>
      <c r="B6" s="1229" t="s">
        <v>672</v>
      </c>
      <c r="C6" s="1230"/>
      <c r="D6" s="1230"/>
      <c r="E6" s="1230"/>
      <c r="F6" s="1230"/>
      <c r="G6" s="1230"/>
      <c r="H6" s="1231"/>
      <c r="I6" s="488"/>
      <c r="J6" s="491"/>
      <c r="K6" s="491"/>
      <c r="L6" s="491"/>
      <c r="M6" s="491"/>
      <c r="N6" s="48"/>
      <c r="O6" s="46"/>
      <c r="P6" s="46"/>
      <c r="Q6" s="46"/>
      <c r="R6" s="46"/>
      <c r="S6" s="46"/>
      <c r="T6" s="46"/>
      <c r="U6" s="46"/>
      <c r="V6" s="46"/>
      <c r="W6" s="46"/>
    </row>
    <row r="7" spans="1:23" ht="90" customHeight="1" thickBot="1" x14ac:dyDescent="0.45">
      <c r="A7" s="494"/>
      <c r="B7" s="453"/>
      <c r="C7" s="453"/>
      <c r="D7" s="453"/>
      <c r="E7" s="453"/>
      <c r="F7" s="453"/>
      <c r="G7" s="453"/>
      <c r="H7" s="453"/>
      <c r="I7" s="488"/>
      <c r="J7" s="491"/>
      <c r="K7" s="491"/>
      <c r="L7" s="491"/>
      <c r="M7" s="491"/>
      <c r="N7" s="48"/>
      <c r="O7" s="46"/>
      <c r="P7" s="46"/>
      <c r="Q7" s="46"/>
      <c r="R7" s="46"/>
      <c r="S7" s="46"/>
      <c r="T7" s="46"/>
      <c r="U7" s="46"/>
      <c r="V7" s="46"/>
      <c r="W7" s="46"/>
    </row>
    <row r="8" spans="1:23" ht="90" customHeight="1" x14ac:dyDescent="0.25">
      <c r="A8" s="454" t="s">
        <v>20</v>
      </c>
      <c r="B8" s="1234" t="s">
        <v>673</v>
      </c>
      <c r="C8" s="1235"/>
      <c r="D8" s="1235"/>
      <c r="E8" s="1235"/>
      <c r="F8" s="1235"/>
      <c r="G8" s="1235"/>
      <c r="H8" s="1236"/>
      <c r="I8" s="495"/>
      <c r="J8" s="495"/>
      <c r="K8" s="495"/>
      <c r="L8" s="495"/>
      <c r="M8" s="495"/>
      <c r="N8" s="46"/>
      <c r="O8" s="46"/>
      <c r="P8" s="46"/>
      <c r="Q8" s="46"/>
      <c r="R8" s="46"/>
      <c r="S8" s="46"/>
      <c r="T8" s="46"/>
      <c r="U8" s="46"/>
      <c r="V8" s="46"/>
      <c r="W8" s="46"/>
    </row>
    <row r="9" spans="1:23" ht="90" customHeight="1" x14ac:dyDescent="0.25">
      <c r="A9" s="493" t="s">
        <v>26</v>
      </c>
      <c r="B9" s="1219" t="s">
        <v>674</v>
      </c>
      <c r="C9" s="1237"/>
      <c r="D9" s="1237"/>
      <c r="E9" s="1237"/>
      <c r="F9" s="1237"/>
      <c r="G9" s="1237"/>
      <c r="H9" s="1238"/>
      <c r="I9" s="495"/>
      <c r="J9" s="495"/>
      <c r="K9" s="495"/>
      <c r="L9" s="495"/>
      <c r="M9" s="495"/>
      <c r="N9" s="46"/>
      <c r="O9" s="46"/>
      <c r="P9" s="46"/>
      <c r="Q9" s="46"/>
      <c r="R9" s="46"/>
      <c r="S9" s="46"/>
      <c r="T9" s="46"/>
      <c r="U9" s="46"/>
      <c r="V9" s="46"/>
      <c r="W9" s="46"/>
    </row>
    <row r="10" spans="1:23" ht="90" customHeight="1" thickBot="1" x14ac:dyDescent="0.3">
      <c r="A10" s="456" t="s">
        <v>27</v>
      </c>
      <c r="B10" s="1209" t="s">
        <v>675</v>
      </c>
      <c r="C10" s="1209"/>
      <c r="D10" s="1209"/>
      <c r="E10" s="1209"/>
      <c r="F10" s="1209"/>
      <c r="G10" s="1209"/>
      <c r="H10" s="1210"/>
      <c r="I10" s="495"/>
      <c r="J10" s="495"/>
      <c r="K10" s="495"/>
      <c r="L10" s="495"/>
      <c r="M10" s="495"/>
      <c r="N10" s="46"/>
      <c r="O10" s="46"/>
      <c r="P10" s="46"/>
      <c r="Q10" s="46"/>
      <c r="R10" s="46"/>
      <c r="S10" s="46"/>
      <c r="T10" s="46"/>
      <c r="U10" s="46"/>
      <c r="V10" s="46"/>
      <c r="W10" s="46"/>
    </row>
    <row r="11" spans="1:23" ht="17.25" customHeight="1" thickBot="1" x14ac:dyDescent="0.3">
      <c r="A11" s="457"/>
      <c r="B11" s="458"/>
      <c r="C11" s="458"/>
      <c r="D11" s="458"/>
      <c r="E11" s="458"/>
      <c r="F11" s="458"/>
      <c r="G11" s="458"/>
      <c r="H11" s="458"/>
      <c r="I11" s="495"/>
      <c r="J11" s="495"/>
      <c r="K11" s="495"/>
      <c r="L11" s="495"/>
      <c r="M11" s="495"/>
      <c r="N11" s="46"/>
      <c r="O11" s="46"/>
      <c r="P11" s="46"/>
      <c r="Q11" s="46"/>
      <c r="R11" s="46"/>
      <c r="S11" s="46"/>
      <c r="T11" s="46"/>
      <c r="U11" s="46"/>
      <c r="V11" s="46"/>
      <c r="W11" s="46"/>
    </row>
    <row r="12" spans="1:23" ht="30" customHeight="1" x14ac:dyDescent="0.25">
      <c r="A12" s="459" t="s">
        <v>28</v>
      </c>
      <c r="B12" s="460" t="s">
        <v>22</v>
      </c>
      <c r="C12" s="460" t="s">
        <v>34</v>
      </c>
      <c r="D12" s="460" t="s">
        <v>33</v>
      </c>
      <c r="E12" s="461" t="s">
        <v>53</v>
      </c>
      <c r="F12" s="471"/>
      <c r="G12" s="471"/>
      <c r="H12" s="471"/>
      <c r="I12" s="471"/>
      <c r="J12" s="471"/>
      <c r="K12" s="471"/>
      <c r="L12" s="471"/>
      <c r="M12" s="471"/>
      <c r="N12" s="46"/>
      <c r="O12" s="46"/>
      <c r="P12" s="46"/>
      <c r="Q12" s="46"/>
      <c r="R12" s="46"/>
      <c r="S12" s="46"/>
    </row>
    <row r="13" spans="1:23" ht="30" customHeight="1" x14ac:dyDescent="0.25">
      <c r="A13" s="462"/>
      <c r="B13" s="463" t="s">
        <v>643</v>
      </c>
      <c r="C13" s="463" t="s">
        <v>643</v>
      </c>
      <c r="D13" s="463" t="s">
        <v>643</v>
      </c>
      <c r="E13" s="464" t="s">
        <v>643</v>
      </c>
      <c r="F13" s="474"/>
      <c r="G13" s="474"/>
      <c r="H13" s="474"/>
      <c r="I13" s="474"/>
      <c r="J13" s="474"/>
      <c r="K13" s="474"/>
      <c r="L13" s="474"/>
      <c r="M13" s="474"/>
      <c r="N13" s="46"/>
      <c r="O13" s="46"/>
      <c r="P13" s="46"/>
      <c r="Q13" s="46"/>
      <c r="R13" s="46"/>
      <c r="S13" s="46"/>
    </row>
    <row r="14" spans="1:23" ht="30" customHeight="1" x14ac:dyDescent="0.25">
      <c r="A14" s="466" t="s">
        <v>29</v>
      </c>
      <c r="B14" s="467" t="s">
        <v>42</v>
      </c>
      <c r="C14" s="467" t="s">
        <v>35</v>
      </c>
      <c r="D14" s="467" t="s">
        <v>36</v>
      </c>
      <c r="E14" s="468" t="s">
        <v>23</v>
      </c>
      <c r="F14" s="1211"/>
      <c r="G14" s="1212"/>
      <c r="H14" s="1212"/>
      <c r="I14" s="1213"/>
      <c r="J14" s="474"/>
      <c r="K14" s="474"/>
      <c r="L14" s="474"/>
      <c r="M14" s="474"/>
      <c r="N14" s="46"/>
      <c r="O14" s="46"/>
      <c r="P14" s="46"/>
      <c r="Q14" s="46"/>
      <c r="R14" s="46"/>
      <c r="S14" s="46"/>
      <c r="T14" s="46"/>
      <c r="U14" s="46"/>
      <c r="V14" s="46"/>
    </row>
    <row r="15" spans="1:23" ht="30" customHeight="1" thickBot="1" x14ac:dyDescent="0.3">
      <c r="A15" s="456"/>
      <c r="B15" s="469" t="s">
        <v>643</v>
      </c>
      <c r="C15" s="469" t="s">
        <v>643</v>
      </c>
      <c r="D15" s="469" t="s">
        <v>643</v>
      </c>
      <c r="E15" s="470" t="s">
        <v>643</v>
      </c>
      <c r="F15" s="1214"/>
      <c r="G15" s="1215"/>
      <c r="H15" s="1215"/>
      <c r="I15" s="1216"/>
      <c r="J15" s="474"/>
      <c r="K15" s="474"/>
      <c r="L15" s="474"/>
      <c r="M15" s="474"/>
      <c r="N15" s="46"/>
      <c r="O15" s="46"/>
      <c r="P15" s="46"/>
      <c r="Q15" s="46"/>
      <c r="R15" s="46"/>
      <c r="S15" s="46"/>
      <c r="T15" s="46"/>
      <c r="U15" s="46"/>
      <c r="V15" s="46"/>
    </row>
    <row r="16" spans="1:23" ht="30" customHeight="1" x14ac:dyDescent="0.25">
      <c r="A16" s="471"/>
      <c r="B16" s="499"/>
      <c r="C16" s="499"/>
      <c r="D16" s="499"/>
      <c r="E16" s="472"/>
      <c r="F16" s="472"/>
      <c r="G16" s="472"/>
      <c r="H16" s="473"/>
      <c r="I16" s="474"/>
      <c r="J16" s="474"/>
      <c r="K16" s="474"/>
      <c r="L16" s="474"/>
      <c r="M16" s="474"/>
      <c r="N16" s="46"/>
      <c r="O16" s="46"/>
      <c r="P16" s="46"/>
      <c r="Q16" s="46"/>
      <c r="R16" s="46"/>
      <c r="S16" s="46"/>
      <c r="T16" s="46"/>
      <c r="U16" s="46"/>
      <c r="V16" s="46"/>
      <c r="W16" s="46"/>
    </row>
    <row r="17" spans="1:23" ht="26.25" customHeight="1" x14ac:dyDescent="0.25">
      <c r="A17" s="490" t="s">
        <v>30</v>
      </c>
      <c r="B17" s="1217">
        <v>2015</v>
      </c>
      <c r="C17" s="1217">
        <v>2016</v>
      </c>
      <c r="D17" s="1217">
        <v>2017</v>
      </c>
      <c r="E17" s="1217">
        <v>2018</v>
      </c>
      <c r="F17" s="1217">
        <v>2019</v>
      </c>
      <c r="G17" s="1217"/>
      <c r="H17" s="475"/>
      <c r="I17" s="474"/>
      <c r="J17" s="474"/>
      <c r="K17" s="474"/>
      <c r="L17" s="474"/>
      <c r="M17" s="474"/>
      <c r="N17" s="46"/>
      <c r="O17" s="46"/>
      <c r="P17" s="46"/>
      <c r="Q17" s="46"/>
      <c r="R17" s="46"/>
      <c r="S17" s="46"/>
      <c r="T17" s="46"/>
      <c r="U17" s="46"/>
      <c r="V17" s="46"/>
      <c r="W17" s="46"/>
    </row>
    <row r="18" spans="1:23" ht="30" customHeight="1" thickBot="1" x14ac:dyDescent="0.3">
      <c r="A18" s="500" t="s">
        <v>37</v>
      </c>
      <c r="B18" s="1218"/>
      <c r="C18" s="1218"/>
      <c r="D18" s="1218"/>
      <c r="E18" s="1218"/>
      <c r="F18" s="1218"/>
      <c r="G18" s="1218"/>
      <c r="H18" s="475"/>
      <c r="I18" s="474"/>
      <c r="J18" s="474"/>
      <c r="K18" s="474"/>
      <c r="L18" s="474"/>
      <c r="M18" s="474"/>
      <c r="N18" s="46"/>
      <c r="O18" s="46"/>
      <c r="P18" s="46"/>
      <c r="Q18" s="46"/>
      <c r="R18" s="46"/>
      <c r="S18" s="46"/>
      <c r="T18" s="46"/>
      <c r="U18" s="46"/>
      <c r="V18" s="46"/>
      <c r="W18" s="46"/>
    </row>
    <row r="19" spans="1:23" ht="63" customHeight="1" thickBot="1" x14ac:dyDescent="0.3">
      <c r="A19" s="501" t="s">
        <v>68</v>
      </c>
      <c r="B19" s="502"/>
      <c r="C19" s="502"/>
      <c r="D19" s="502">
        <v>10779</v>
      </c>
      <c r="E19" s="502">
        <v>10779</v>
      </c>
      <c r="F19" s="1223">
        <v>11092</v>
      </c>
      <c r="G19" s="1224"/>
      <c r="H19" s="475"/>
      <c r="I19" s="474"/>
      <c r="J19" s="474"/>
      <c r="K19" s="474"/>
      <c r="L19" s="474"/>
      <c r="M19" s="474"/>
      <c r="N19" s="46"/>
      <c r="O19" s="46"/>
      <c r="P19" s="46"/>
      <c r="Q19" s="46"/>
      <c r="R19" s="46"/>
      <c r="S19" s="46"/>
      <c r="T19" s="46"/>
      <c r="U19" s="46"/>
      <c r="V19" s="46"/>
      <c r="W19" s="46"/>
    </row>
    <row r="20" spans="1:23" ht="51.75" customHeight="1" thickBot="1" x14ac:dyDescent="0.3">
      <c r="A20" s="471"/>
      <c r="B20" s="476"/>
      <c r="C20" s="476"/>
      <c r="D20" s="476"/>
      <c r="E20" s="476"/>
      <c r="F20" s="476"/>
      <c r="G20" s="476"/>
      <c r="H20" s="475"/>
      <c r="I20" s="474"/>
      <c r="J20" s="474"/>
      <c r="K20" s="474"/>
      <c r="L20" s="474"/>
      <c r="M20" s="474"/>
      <c r="N20" s="46"/>
      <c r="O20" s="46"/>
      <c r="P20" s="46"/>
      <c r="Q20" s="46"/>
      <c r="R20" s="46"/>
      <c r="S20" s="46"/>
      <c r="T20" s="46"/>
      <c r="U20" s="46"/>
      <c r="V20" s="46"/>
      <c r="W20" s="46"/>
    </row>
    <row r="21" spans="1:23" ht="36" customHeight="1" x14ac:dyDescent="0.25">
      <c r="A21" s="503" t="s">
        <v>676</v>
      </c>
      <c r="B21" s="478"/>
      <c r="C21" s="477"/>
      <c r="D21" s="477"/>
      <c r="E21" s="477"/>
      <c r="F21" s="477"/>
      <c r="G21" s="477"/>
      <c r="H21" s="475"/>
      <c r="I21" s="474"/>
      <c r="J21" s="474"/>
      <c r="K21" s="474"/>
      <c r="L21" s="474"/>
      <c r="M21" s="474"/>
      <c r="N21" s="46"/>
      <c r="O21" s="46"/>
      <c r="P21" s="46"/>
      <c r="Q21" s="46"/>
      <c r="R21" s="46"/>
      <c r="S21" s="46"/>
      <c r="T21" s="46"/>
      <c r="U21" s="46"/>
      <c r="V21" s="46"/>
      <c r="W21" s="46"/>
    </row>
    <row r="22" spans="1:23" ht="40.5" customHeight="1" x14ac:dyDescent="0.25">
      <c r="A22" s="504" t="s">
        <v>52</v>
      </c>
      <c r="B22" s="505" t="s">
        <v>67</v>
      </c>
      <c r="C22" s="477"/>
      <c r="D22" s="477"/>
      <c r="E22" s="477"/>
      <c r="F22" s="477"/>
      <c r="G22" s="475"/>
      <c r="H22" s="474"/>
      <c r="I22" s="474"/>
      <c r="J22" s="474"/>
      <c r="K22" s="474"/>
      <c r="L22" s="474"/>
      <c r="M22" s="495"/>
      <c r="N22" s="46"/>
      <c r="O22" s="46"/>
      <c r="P22" s="46"/>
      <c r="Q22" s="46"/>
      <c r="R22" s="46"/>
      <c r="S22" s="46"/>
      <c r="T22" s="46"/>
      <c r="U22" s="46"/>
      <c r="V22" s="46"/>
    </row>
    <row r="23" spans="1:23" ht="50.1" customHeight="1" x14ac:dyDescent="0.25">
      <c r="A23" s="479">
        <v>2017</v>
      </c>
      <c r="B23" s="480">
        <v>10779</v>
      </c>
      <c r="C23" s="477"/>
      <c r="D23" s="477"/>
      <c r="E23" s="477"/>
      <c r="F23" s="475"/>
      <c r="G23" s="474"/>
      <c r="H23" s="474"/>
      <c r="I23" s="474"/>
      <c r="J23" s="474"/>
      <c r="K23" s="474"/>
      <c r="L23" s="495"/>
      <c r="M23" s="495"/>
      <c r="N23" s="46"/>
      <c r="O23" s="46"/>
      <c r="P23" s="46"/>
      <c r="Q23" s="46"/>
      <c r="R23" s="46"/>
      <c r="S23" s="46"/>
      <c r="T23" s="46"/>
      <c r="U23" s="46"/>
    </row>
    <row r="24" spans="1:23" ht="50.1" customHeight="1" x14ac:dyDescent="0.25">
      <c r="A24" s="479">
        <v>2018</v>
      </c>
      <c r="B24" s="480">
        <v>10779</v>
      </c>
      <c r="C24" s="477"/>
      <c r="D24" s="477"/>
      <c r="E24" s="477"/>
      <c r="F24" s="475"/>
      <c r="G24" s="474"/>
      <c r="H24" s="474"/>
      <c r="I24" s="474"/>
      <c r="J24" s="474"/>
      <c r="K24" s="474"/>
      <c r="L24" s="495"/>
      <c r="M24" s="496"/>
      <c r="N24" s="46"/>
      <c r="O24" s="46"/>
      <c r="P24" s="46"/>
      <c r="Q24" s="46"/>
      <c r="R24" s="46"/>
      <c r="S24" s="46"/>
      <c r="T24" s="46"/>
      <c r="U24" s="46"/>
    </row>
    <row r="25" spans="1:23" ht="50.1" customHeight="1" x14ac:dyDescent="0.25">
      <c r="A25" s="479">
        <v>2019</v>
      </c>
      <c r="B25" s="480">
        <v>11092</v>
      </c>
      <c r="C25" s="477"/>
      <c r="D25" s="477"/>
      <c r="E25" s="477"/>
      <c r="F25" s="475"/>
      <c r="G25" s="474"/>
      <c r="H25" s="474"/>
      <c r="I25" s="474"/>
      <c r="J25" s="474"/>
      <c r="K25" s="474"/>
      <c r="L25" s="495"/>
      <c r="M25" s="497"/>
      <c r="N25" s="46"/>
      <c r="O25" s="46"/>
      <c r="P25" s="46"/>
      <c r="Q25" s="46"/>
      <c r="R25" s="46"/>
      <c r="S25" s="46"/>
      <c r="T25" s="46"/>
      <c r="U25" s="46"/>
    </row>
    <row r="26" spans="1:23" ht="50.1" customHeight="1" x14ac:dyDescent="0.25">
      <c r="A26" s="479">
        <v>2020</v>
      </c>
      <c r="B26" s="480">
        <v>11524</v>
      </c>
      <c r="C26" s="477"/>
      <c r="D26" s="477"/>
      <c r="E26" s="477"/>
      <c r="F26" s="475"/>
      <c r="G26" s="474"/>
      <c r="H26" s="474"/>
      <c r="I26" s="474"/>
      <c r="J26" s="474"/>
      <c r="K26" s="474"/>
      <c r="L26" s="495"/>
      <c r="M26" s="497"/>
      <c r="N26" s="46"/>
      <c r="O26" s="46"/>
      <c r="P26" s="46"/>
      <c r="Q26" s="46"/>
      <c r="R26" s="46"/>
      <c r="S26" s="46"/>
      <c r="T26" s="46"/>
      <c r="U26" s="46"/>
    </row>
    <row r="27" spans="1:23" ht="50.1" customHeight="1" thickBot="1" x14ac:dyDescent="0.3">
      <c r="A27" s="481">
        <v>2021</v>
      </c>
      <c r="B27" s="482">
        <v>11582</v>
      </c>
      <c r="C27" s="474"/>
      <c r="D27" s="474"/>
      <c r="E27" s="474"/>
      <c r="F27" s="474"/>
      <c r="G27" s="474"/>
      <c r="H27" s="474"/>
      <c r="I27" s="474"/>
      <c r="J27" s="474"/>
      <c r="K27" s="474"/>
      <c r="L27" s="495"/>
      <c r="M27" s="497"/>
      <c r="N27" s="46"/>
      <c r="O27" s="46"/>
      <c r="P27" s="46"/>
      <c r="Q27" s="46"/>
      <c r="R27" s="46"/>
      <c r="S27" s="46"/>
      <c r="T27" s="46"/>
      <c r="U27" s="46"/>
    </row>
    <row r="28" spans="1:23" ht="36.75" customHeight="1" thickBot="1" x14ac:dyDescent="0.3">
      <c r="A28" s="471"/>
      <c r="B28" s="477"/>
      <c r="C28" s="474"/>
      <c r="D28" s="474"/>
      <c r="E28" s="474"/>
      <c r="F28" s="474"/>
      <c r="G28" s="474"/>
      <c r="H28" s="474"/>
      <c r="I28" s="474"/>
      <c r="J28" s="474"/>
      <c r="K28" s="474"/>
      <c r="L28" s="495"/>
      <c r="M28" s="497"/>
      <c r="N28" s="46"/>
      <c r="O28" s="46"/>
      <c r="P28" s="46"/>
      <c r="Q28" s="46"/>
      <c r="R28" s="46"/>
      <c r="S28" s="46"/>
      <c r="T28" s="46"/>
      <c r="U28" s="46"/>
    </row>
    <row r="29" spans="1:23" ht="30" customHeight="1" x14ac:dyDescent="0.25">
      <c r="A29" s="1242" t="s">
        <v>40</v>
      </c>
      <c r="B29" s="1243"/>
      <c r="C29" s="1243"/>
      <c r="D29" s="1243"/>
      <c r="E29" s="1244"/>
      <c r="F29" s="483"/>
      <c r="G29" s="483"/>
      <c r="H29" s="483"/>
      <c r="I29" s="474"/>
      <c r="J29" s="474"/>
      <c r="K29" s="474"/>
      <c r="L29" s="474"/>
      <c r="M29" s="498"/>
      <c r="N29" s="46"/>
      <c r="O29" s="46"/>
      <c r="P29" s="46"/>
      <c r="Q29" s="46"/>
      <c r="R29" s="46"/>
      <c r="S29" s="46"/>
      <c r="T29" s="46"/>
      <c r="U29" s="46"/>
      <c r="V29" s="46"/>
      <c r="W29" s="46"/>
    </row>
    <row r="30" spans="1:23" ht="91.5" customHeight="1" x14ac:dyDescent="0.25">
      <c r="A30" s="506" t="s">
        <v>19</v>
      </c>
      <c r="B30" s="1219" t="s">
        <v>677</v>
      </c>
      <c r="C30" s="1219"/>
      <c r="D30" s="1219"/>
      <c r="E30" s="1220"/>
      <c r="F30" s="483"/>
      <c r="G30" s="483"/>
      <c r="H30" s="483"/>
      <c r="I30" s="474"/>
      <c r="J30" s="474"/>
      <c r="K30" s="474"/>
      <c r="L30" s="474"/>
      <c r="M30" s="498"/>
      <c r="N30" s="46"/>
      <c r="O30" s="46"/>
      <c r="P30" s="46"/>
      <c r="Q30" s="46"/>
      <c r="R30" s="46"/>
      <c r="S30" s="46"/>
      <c r="T30" s="46"/>
      <c r="U30" s="46"/>
      <c r="V30" s="46"/>
      <c r="W30" s="46"/>
    </row>
    <row r="31" spans="1:23" ht="101.25" customHeight="1" x14ac:dyDescent="0.25">
      <c r="A31" s="484" t="s">
        <v>38</v>
      </c>
      <c r="B31" s="1219" t="s">
        <v>678</v>
      </c>
      <c r="C31" s="1221"/>
      <c r="D31" s="1221"/>
      <c r="E31" s="1222"/>
      <c r="F31" s="483"/>
      <c r="G31" s="483"/>
      <c r="H31" s="483"/>
      <c r="I31" s="474"/>
      <c r="J31" s="474"/>
      <c r="K31" s="474"/>
      <c r="L31" s="474"/>
      <c r="M31" s="498"/>
      <c r="N31" s="46"/>
      <c r="O31" s="46"/>
      <c r="P31" s="46"/>
      <c r="Q31" s="46"/>
      <c r="R31" s="46"/>
      <c r="S31" s="46"/>
      <c r="T31" s="46"/>
      <c r="U31" s="46"/>
      <c r="V31" s="46"/>
      <c r="W31" s="46"/>
    </row>
    <row r="32" spans="1:23" ht="95.25" customHeight="1" thickBot="1" x14ac:dyDescent="0.3">
      <c r="A32" s="485" t="s">
        <v>39</v>
      </c>
      <c r="B32" s="1209" t="s">
        <v>679</v>
      </c>
      <c r="C32" s="1209"/>
      <c r="D32" s="1209"/>
      <c r="E32" s="1210"/>
      <c r="F32" s="483"/>
      <c r="G32" s="483"/>
      <c r="H32" s="483"/>
      <c r="I32" s="474"/>
      <c r="J32" s="474"/>
      <c r="K32" s="474"/>
      <c r="L32" s="474"/>
      <c r="M32" s="498"/>
      <c r="N32" s="46"/>
      <c r="O32" s="46"/>
      <c r="P32" s="46"/>
      <c r="Q32" s="46"/>
      <c r="R32" s="46"/>
      <c r="S32" s="46"/>
      <c r="T32" s="46"/>
      <c r="U32" s="46"/>
      <c r="V32" s="46"/>
      <c r="W32" s="46"/>
    </row>
    <row r="33" spans="1:23" ht="27" customHeight="1" x14ac:dyDescent="0.25">
      <c r="A33" s="475"/>
      <c r="B33" s="486"/>
      <c r="C33" s="486"/>
      <c r="D33" s="486"/>
      <c r="E33" s="486"/>
      <c r="F33" s="483"/>
      <c r="G33" s="483"/>
      <c r="H33" s="483"/>
      <c r="I33" s="474"/>
      <c r="J33" s="474"/>
      <c r="K33" s="474"/>
      <c r="L33" s="474"/>
      <c r="M33" s="465"/>
      <c r="N33" s="46"/>
      <c r="O33" s="46"/>
      <c r="P33" s="46"/>
      <c r="Q33" s="46"/>
      <c r="R33" s="46"/>
      <c r="S33" s="46"/>
      <c r="T33" s="46"/>
      <c r="U33" s="46"/>
      <c r="V33" s="46"/>
      <c r="W33" s="46"/>
    </row>
    <row r="34" spans="1:23" ht="25.5" customHeight="1" thickBot="1" x14ac:dyDescent="0.3">
      <c r="A34" s="475"/>
      <c r="B34" s="486"/>
      <c r="C34" s="486"/>
      <c r="D34" s="486"/>
      <c r="E34" s="486"/>
      <c r="F34" s="483"/>
      <c r="G34" s="483"/>
      <c r="H34" s="483"/>
      <c r="I34" s="465"/>
      <c r="J34" s="465"/>
      <c r="K34" s="465"/>
      <c r="L34" s="465"/>
      <c r="M34" s="465"/>
      <c r="N34" s="46"/>
      <c r="O34" s="46"/>
      <c r="P34" s="46"/>
      <c r="Q34" s="46"/>
      <c r="R34" s="46"/>
      <c r="S34" s="46"/>
      <c r="T34" s="46"/>
      <c r="U34" s="46"/>
      <c r="V34" s="46"/>
      <c r="W34" s="46"/>
    </row>
    <row r="35" spans="1:23" ht="46.5" customHeight="1" thickBot="1" x14ac:dyDescent="0.3">
      <c r="A35" s="1245" t="s">
        <v>58</v>
      </c>
      <c r="B35" s="1246"/>
      <c r="C35" s="1246"/>
      <c r="D35" s="1246"/>
      <c r="E35" s="1246"/>
      <c r="F35" s="1246"/>
      <c r="G35" s="1246"/>
      <c r="H35" s="1247"/>
      <c r="I35" s="455"/>
      <c r="J35" s="455"/>
      <c r="K35" s="455"/>
      <c r="L35" s="455"/>
      <c r="M35" s="455"/>
      <c r="N35" s="46"/>
      <c r="O35" s="46"/>
      <c r="P35" s="46"/>
      <c r="Q35" s="46"/>
      <c r="R35" s="46"/>
      <c r="S35" s="46"/>
      <c r="T35" s="46"/>
      <c r="U35" s="46"/>
      <c r="V35" s="46"/>
      <c r="W35" s="46"/>
    </row>
    <row r="36" spans="1:23" ht="30" customHeight="1" thickBot="1" x14ac:dyDescent="0.3">
      <c r="A36" s="1200" t="s">
        <v>31</v>
      </c>
      <c r="B36" s="1201"/>
      <c r="C36" s="1201"/>
      <c r="D36" s="1201"/>
      <c r="E36" s="1201"/>
      <c r="F36" s="1201"/>
      <c r="G36" s="1201"/>
      <c r="H36" s="1202"/>
      <c r="I36" s="1183" t="s">
        <v>51</v>
      </c>
      <c r="J36" s="455"/>
      <c r="K36" s="455"/>
      <c r="L36" s="455"/>
      <c r="M36" s="455"/>
      <c r="N36" s="46"/>
      <c r="O36" s="46"/>
      <c r="P36" s="46"/>
      <c r="Q36" s="46"/>
      <c r="R36" s="46"/>
      <c r="S36" s="46"/>
      <c r="T36" s="46"/>
      <c r="U36" s="46"/>
      <c r="V36" s="46"/>
      <c r="W36" s="46"/>
    </row>
    <row r="37" spans="1:23" ht="67.5" customHeight="1" x14ac:dyDescent="0.25">
      <c r="A37" s="487" t="s">
        <v>13</v>
      </c>
      <c r="B37" s="1203" t="s">
        <v>16</v>
      </c>
      <c r="C37" s="1203"/>
      <c r="D37" s="1203" t="s">
        <v>15</v>
      </c>
      <c r="E37" s="1203"/>
      <c r="F37" s="1203" t="s">
        <v>16</v>
      </c>
      <c r="G37" s="1203"/>
      <c r="H37" s="1204"/>
      <c r="I37" s="1184"/>
      <c r="J37" s="455"/>
      <c r="K37" s="455"/>
      <c r="L37" s="455"/>
      <c r="M37" s="455"/>
      <c r="N37" s="46"/>
      <c r="O37" s="46"/>
      <c r="P37" s="46"/>
      <c r="Q37" s="46"/>
      <c r="R37" s="46"/>
      <c r="S37" s="46"/>
      <c r="T37" s="46"/>
      <c r="U37" s="46"/>
      <c r="V37" s="46"/>
      <c r="W37" s="46"/>
    </row>
    <row r="38" spans="1:23" ht="123" customHeight="1" x14ac:dyDescent="0.25">
      <c r="A38" s="507" t="s">
        <v>41</v>
      </c>
      <c r="B38" s="1205" t="s">
        <v>8</v>
      </c>
      <c r="C38" s="1205"/>
      <c r="D38" s="1205" t="s">
        <v>7</v>
      </c>
      <c r="E38" s="1205"/>
      <c r="F38" s="1205" t="s">
        <v>9</v>
      </c>
      <c r="G38" s="1205"/>
      <c r="H38" s="1206"/>
      <c r="I38" s="1184"/>
      <c r="J38" s="455"/>
      <c r="K38" s="455"/>
      <c r="L38" s="455"/>
      <c r="M38" s="455"/>
      <c r="N38" s="46"/>
      <c r="O38" s="46"/>
      <c r="P38" s="46"/>
      <c r="Q38" s="46"/>
      <c r="R38" s="46"/>
      <c r="S38" s="46"/>
      <c r="T38" s="46"/>
      <c r="U38" s="46"/>
      <c r="V38" s="46"/>
      <c r="W38" s="46"/>
    </row>
    <row r="39" spans="1:23" ht="213.75" customHeight="1" x14ac:dyDescent="0.25">
      <c r="A39" s="508" t="s">
        <v>680</v>
      </c>
      <c r="B39" s="1186" t="s">
        <v>681</v>
      </c>
      <c r="C39" s="1187"/>
      <c r="D39" s="1186"/>
      <c r="E39" s="1187"/>
      <c r="F39" s="1186"/>
      <c r="G39" s="1188"/>
      <c r="H39" s="1189"/>
      <c r="I39" s="1184"/>
      <c r="J39" s="455"/>
      <c r="K39" s="455"/>
      <c r="L39" s="455"/>
      <c r="M39" s="455"/>
      <c r="N39" s="46"/>
      <c r="O39" s="46"/>
      <c r="P39" s="46"/>
      <c r="Q39" s="46"/>
      <c r="R39" s="46"/>
      <c r="S39" s="46"/>
      <c r="T39" s="46"/>
      <c r="U39" s="46"/>
      <c r="V39" s="46"/>
      <c r="W39" s="46"/>
    </row>
    <row r="40" spans="1:23" ht="60" customHeight="1" x14ac:dyDescent="0.25">
      <c r="A40" s="507" t="s">
        <v>682</v>
      </c>
      <c r="B40" s="1186" t="s">
        <v>683</v>
      </c>
      <c r="C40" s="1187"/>
      <c r="D40" s="1186" t="s">
        <v>684</v>
      </c>
      <c r="E40" s="1187"/>
      <c r="F40" s="1190" t="s">
        <v>685</v>
      </c>
      <c r="G40" s="1191"/>
      <c r="H40" s="1192"/>
      <c r="I40" s="1184"/>
      <c r="J40" s="455"/>
      <c r="K40" s="455"/>
      <c r="L40" s="455"/>
      <c r="M40" s="455"/>
      <c r="N40" s="46"/>
      <c r="O40" s="46"/>
      <c r="P40" s="46"/>
      <c r="Q40" s="46"/>
      <c r="R40" s="46"/>
      <c r="S40" s="46"/>
      <c r="T40" s="46"/>
      <c r="U40" s="46"/>
      <c r="V40" s="46"/>
      <c r="W40" s="46"/>
    </row>
    <row r="41" spans="1:23" ht="72.75" customHeight="1" x14ac:dyDescent="0.25">
      <c r="A41" s="508"/>
      <c r="B41" s="1186"/>
      <c r="C41" s="1187"/>
      <c r="D41" s="1186" t="s">
        <v>686</v>
      </c>
      <c r="E41" s="1187"/>
      <c r="F41" s="1193" t="s">
        <v>687</v>
      </c>
      <c r="G41" s="1194"/>
      <c r="H41" s="1195"/>
      <c r="I41" s="1184"/>
      <c r="J41" s="455"/>
      <c r="K41" s="455"/>
      <c r="L41" s="455"/>
      <c r="M41" s="455"/>
      <c r="N41" s="46"/>
      <c r="O41" s="46"/>
      <c r="P41" s="46"/>
      <c r="Q41" s="46"/>
      <c r="R41" s="46"/>
      <c r="S41" s="46"/>
      <c r="T41" s="46"/>
      <c r="U41" s="46"/>
      <c r="V41" s="46"/>
      <c r="W41" s="46"/>
    </row>
    <row r="42" spans="1:23" ht="72.75" customHeight="1" x14ac:dyDescent="0.25">
      <c r="A42" s="508"/>
      <c r="B42" s="1186"/>
      <c r="C42" s="1187"/>
      <c r="D42" s="1186" t="s">
        <v>688</v>
      </c>
      <c r="E42" s="1187"/>
      <c r="F42" s="1193" t="s">
        <v>689</v>
      </c>
      <c r="G42" s="1194"/>
      <c r="H42" s="1195"/>
      <c r="I42" s="1184"/>
      <c r="J42" s="455"/>
      <c r="K42" s="455"/>
      <c r="L42" s="455"/>
      <c r="M42" s="455"/>
      <c r="N42" s="46"/>
      <c r="O42" s="46"/>
      <c r="P42" s="46"/>
      <c r="Q42" s="46"/>
      <c r="R42" s="46"/>
      <c r="S42" s="46"/>
      <c r="T42" s="46"/>
      <c r="U42" s="46"/>
      <c r="V42" s="46"/>
      <c r="W42" s="46"/>
    </row>
    <row r="43" spans="1:23" ht="72.75" customHeight="1" thickBot="1" x14ac:dyDescent="0.3">
      <c r="A43" s="509"/>
      <c r="B43" s="1248"/>
      <c r="C43" s="1249"/>
      <c r="D43" s="1196" t="s">
        <v>690</v>
      </c>
      <c r="E43" s="1197"/>
      <c r="F43" s="1196" t="s">
        <v>691</v>
      </c>
      <c r="G43" s="1198"/>
      <c r="H43" s="1199"/>
      <c r="I43" s="1185"/>
      <c r="J43" s="455"/>
      <c r="K43" s="455"/>
      <c r="L43" s="455"/>
      <c r="M43" s="455"/>
      <c r="N43" s="46"/>
      <c r="O43" s="46"/>
      <c r="P43" s="46"/>
      <c r="Q43" s="46"/>
      <c r="R43" s="46"/>
      <c r="S43" s="46"/>
      <c r="T43" s="46"/>
      <c r="U43" s="46"/>
      <c r="V43" s="46"/>
      <c r="W43" s="46"/>
    </row>
    <row r="44" spans="1:23" x14ac:dyDescent="0.25">
      <c r="A44" s="46"/>
      <c r="B44" s="46"/>
      <c r="C44" s="46"/>
      <c r="D44" s="46"/>
      <c r="E44" s="46"/>
      <c r="F44" s="46"/>
      <c r="G44" s="46"/>
      <c r="H44" s="47"/>
      <c r="I44" s="46"/>
      <c r="J44" s="46"/>
      <c r="K44" s="46"/>
      <c r="L44" s="46"/>
      <c r="M44" s="46"/>
      <c r="N44" s="46"/>
      <c r="O44" s="46"/>
      <c r="P44" s="46"/>
      <c r="Q44" s="46"/>
      <c r="R44" s="46"/>
      <c r="S44" s="46"/>
      <c r="T44" s="46"/>
      <c r="U44" s="46"/>
      <c r="V44" s="46"/>
      <c r="W44" s="46"/>
    </row>
    <row r="45" spans="1:23" x14ac:dyDescent="0.25">
      <c r="A45" s="46"/>
      <c r="B45" s="46"/>
      <c r="C45" s="46"/>
      <c r="D45" s="46"/>
      <c r="E45" s="46"/>
      <c r="F45" s="46"/>
      <c r="G45" s="46"/>
      <c r="H45" s="46"/>
      <c r="I45" s="46"/>
      <c r="J45" s="46"/>
      <c r="K45" s="46"/>
      <c r="L45" s="46"/>
      <c r="M45" s="46"/>
      <c r="N45" s="46"/>
      <c r="O45" s="46"/>
      <c r="P45" s="46"/>
      <c r="Q45" s="46"/>
      <c r="R45" s="46"/>
      <c r="S45" s="46"/>
      <c r="T45" s="46"/>
      <c r="U45" s="46"/>
      <c r="V45" s="46"/>
      <c r="W45" s="46"/>
    </row>
    <row r="46" spans="1:23" x14ac:dyDescent="0.25">
      <c r="A46" s="46"/>
      <c r="B46" s="46"/>
      <c r="C46" s="46"/>
      <c r="D46" s="46"/>
      <c r="E46" s="46"/>
      <c r="F46" s="46"/>
      <c r="G46" s="46"/>
      <c r="H46" s="46"/>
      <c r="I46" s="46"/>
      <c r="J46" s="46"/>
      <c r="K46" s="46"/>
      <c r="L46" s="46"/>
      <c r="M46" s="46"/>
      <c r="N46" s="46"/>
      <c r="O46" s="46"/>
      <c r="P46" s="46"/>
      <c r="Q46" s="46"/>
      <c r="R46" s="46"/>
      <c r="S46" s="46"/>
      <c r="T46" s="46"/>
      <c r="U46" s="46"/>
      <c r="V46" s="46"/>
      <c r="W46" s="46"/>
    </row>
    <row r="47" spans="1:23" x14ac:dyDescent="0.25">
      <c r="A47" s="46"/>
      <c r="B47" s="46"/>
      <c r="C47" s="46"/>
      <c r="D47" s="46"/>
      <c r="E47" s="46"/>
      <c r="F47" s="46"/>
      <c r="G47" s="46"/>
      <c r="H47" s="46"/>
      <c r="I47" s="46"/>
      <c r="J47" s="46"/>
      <c r="K47" s="46"/>
      <c r="L47" s="46"/>
      <c r="M47" s="46"/>
      <c r="N47" s="46"/>
      <c r="O47" s="46"/>
      <c r="P47" s="46"/>
      <c r="Q47" s="46"/>
      <c r="R47" s="46"/>
      <c r="S47" s="46"/>
      <c r="T47" s="46"/>
      <c r="U47" s="46"/>
      <c r="V47" s="46"/>
      <c r="W47" s="46"/>
    </row>
    <row r="48" spans="1:23" x14ac:dyDescent="0.25">
      <c r="A48" s="46"/>
      <c r="B48" s="46"/>
      <c r="C48" s="46"/>
      <c r="D48" s="46"/>
      <c r="E48" s="46"/>
      <c r="F48" s="46"/>
      <c r="G48" s="46"/>
      <c r="H48" s="46"/>
      <c r="I48" s="46"/>
      <c r="J48" s="46"/>
      <c r="K48" s="46"/>
      <c r="L48" s="46"/>
      <c r="M48" s="46"/>
      <c r="N48" s="46"/>
      <c r="O48" s="46"/>
      <c r="P48" s="46"/>
      <c r="Q48" s="46"/>
      <c r="R48" s="46"/>
      <c r="S48" s="46"/>
      <c r="T48" s="46"/>
      <c r="U48" s="46"/>
      <c r="V48" s="46"/>
      <c r="W48" s="46"/>
    </row>
  </sheetData>
  <mergeCells count="44">
    <mergeCell ref="B41:C41"/>
    <mergeCell ref="B42:C42"/>
    <mergeCell ref="B43:C43"/>
    <mergeCell ref="B37:C37"/>
    <mergeCell ref="D37:E37"/>
    <mergeCell ref="B39:C39"/>
    <mergeCell ref="B40:C40"/>
    <mergeCell ref="B8:H8"/>
    <mergeCell ref="B9:H9"/>
    <mergeCell ref="B5:H5"/>
    <mergeCell ref="A29:E29"/>
    <mergeCell ref="A35:H35"/>
    <mergeCell ref="A1:G1"/>
    <mergeCell ref="B32:E32"/>
    <mergeCell ref="F14:I15"/>
    <mergeCell ref="B17:B18"/>
    <mergeCell ref="C17:C18"/>
    <mergeCell ref="D17:D18"/>
    <mergeCell ref="E17:E18"/>
    <mergeCell ref="B30:E30"/>
    <mergeCell ref="B31:E31"/>
    <mergeCell ref="F17:G18"/>
    <mergeCell ref="F19:G19"/>
    <mergeCell ref="A2:H2"/>
    <mergeCell ref="B3:H3"/>
    <mergeCell ref="B10:H10"/>
    <mergeCell ref="B6:H6"/>
    <mergeCell ref="B4:H4"/>
    <mergeCell ref="I36:I43"/>
    <mergeCell ref="D39:E39"/>
    <mergeCell ref="F39:H39"/>
    <mergeCell ref="D40:E40"/>
    <mergeCell ref="F40:H40"/>
    <mergeCell ref="D41:E41"/>
    <mergeCell ref="F41:H41"/>
    <mergeCell ref="D42:E42"/>
    <mergeCell ref="F42:H42"/>
    <mergeCell ref="D43:E43"/>
    <mergeCell ref="F43:H43"/>
    <mergeCell ref="A36:H36"/>
    <mergeCell ref="F37:H37"/>
    <mergeCell ref="B38:C38"/>
    <mergeCell ref="D38:E38"/>
    <mergeCell ref="F38:H38"/>
  </mergeCells>
  <printOptions horizontalCentered="1"/>
  <pageMargins left="0.19685039370078741" right="0.19685039370078741" top="0.51181102362204722" bottom="0.98425196850393704" header="0" footer="0"/>
  <pageSetup scale="45" orientation="portrait" r:id="rId1"/>
  <headerFooter alignWithMargins="0"/>
  <rowBreaks count="2" manualBreakCount="2">
    <brk id="20" max="16383" man="1"/>
    <brk id="4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4"/>
  </sheetPr>
  <dimension ref="A1:G20"/>
  <sheetViews>
    <sheetView view="pageBreakPreview" topLeftCell="A4" zoomScaleNormal="70" zoomScaleSheetLayoutView="100" workbookViewId="0">
      <selection activeCell="E4" sqref="E4:F4"/>
    </sheetView>
  </sheetViews>
  <sheetFormatPr baseColWidth="10" defaultColWidth="11.44140625" defaultRowHeight="15" x14ac:dyDescent="0.25"/>
  <cols>
    <col min="1" max="1" width="5.6640625" style="2" customWidth="1"/>
    <col min="2" max="2" width="36.5546875" style="2" customWidth="1"/>
    <col min="3" max="3" width="36" style="2" customWidth="1"/>
    <col min="4" max="4" width="39.88671875" style="8" customWidth="1"/>
    <col min="5" max="5" width="25" style="8" customWidth="1"/>
    <col min="6" max="6" width="23.44140625" style="8" customWidth="1"/>
    <col min="7" max="7" width="27.33203125" style="8" customWidth="1"/>
    <col min="8" max="16384" width="11.44140625" style="2"/>
  </cols>
  <sheetData>
    <row r="1" spans="1:7" ht="30" customHeight="1" thickBot="1" x14ac:dyDescent="0.3">
      <c r="A1" s="1168" t="s">
        <v>47</v>
      </c>
      <c r="B1" s="1169"/>
      <c r="C1" s="1169"/>
      <c r="D1" s="1169"/>
      <c r="E1" s="1170"/>
      <c r="F1" s="87" t="s">
        <v>380</v>
      </c>
      <c r="G1" s="18"/>
    </row>
    <row r="2" spans="1:7" ht="9" customHeight="1" thickBot="1" x14ac:dyDescent="0.3">
      <c r="B2" s="38"/>
      <c r="C2" s="38"/>
      <c r="D2" s="38"/>
      <c r="E2" s="38"/>
      <c r="F2" s="38"/>
      <c r="G2" s="18"/>
    </row>
    <row r="3" spans="1:7" ht="58.5" customHeight="1" thickBot="1" x14ac:dyDescent="0.3">
      <c r="A3" s="1264" t="s">
        <v>399</v>
      </c>
      <c r="B3" s="1265"/>
      <c r="C3" s="418" t="s">
        <v>59</v>
      </c>
      <c r="D3" s="418" t="s">
        <v>65</v>
      </c>
      <c r="E3" s="1270" t="s">
        <v>400</v>
      </c>
      <c r="F3" s="1271"/>
      <c r="G3" s="9"/>
    </row>
    <row r="4" spans="1:7" ht="109.5" customHeight="1" thickBot="1" x14ac:dyDescent="0.3">
      <c r="A4" s="1266" t="s">
        <v>695</v>
      </c>
      <c r="B4" s="1267"/>
      <c r="C4" s="510" t="s">
        <v>696</v>
      </c>
      <c r="D4" s="510" t="s">
        <v>878</v>
      </c>
      <c r="E4" s="1268" t="s">
        <v>697</v>
      </c>
      <c r="F4" s="1269"/>
    </row>
    <row r="5" spans="1:7" ht="9" customHeight="1" thickBot="1" x14ac:dyDescent="0.35">
      <c r="B5" s="39"/>
      <c r="C5" s="419"/>
      <c r="D5" s="419"/>
      <c r="E5" s="60"/>
      <c r="F5" s="60"/>
    </row>
    <row r="6" spans="1:7" ht="60" customHeight="1" thickBot="1" x14ac:dyDescent="0.3">
      <c r="A6" s="1260" t="s">
        <v>63</v>
      </c>
      <c r="B6" s="272" t="s">
        <v>698</v>
      </c>
      <c r="C6" s="272" t="s">
        <v>435</v>
      </c>
      <c r="D6" s="273" t="s">
        <v>436</v>
      </c>
      <c r="E6" s="1258" t="s">
        <v>401</v>
      </c>
      <c r="F6" s="1259"/>
    </row>
    <row r="7" spans="1:7" ht="23.25" customHeight="1" x14ac:dyDescent="0.25">
      <c r="A7" s="1261"/>
      <c r="B7" s="1273" t="s">
        <v>699</v>
      </c>
      <c r="C7" s="1275" t="s">
        <v>700</v>
      </c>
      <c r="D7" s="1277" t="s">
        <v>701</v>
      </c>
      <c r="E7" s="1279" t="s">
        <v>702</v>
      </c>
      <c r="F7" s="1280"/>
    </row>
    <row r="8" spans="1:7" ht="15.75" customHeight="1" thickBot="1" x14ac:dyDescent="0.3">
      <c r="A8" s="1261"/>
      <c r="B8" s="1274"/>
      <c r="C8" s="1276"/>
      <c r="D8" s="1278"/>
      <c r="E8" s="1281"/>
      <c r="F8" s="1282"/>
    </row>
    <row r="9" spans="1:7" ht="36" customHeight="1" thickBot="1" x14ac:dyDescent="0.3">
      <c r="A9" s="1262"/>
      <c r="B9" s="1285" t="s">
        <v>437</v>
      </c>
      <c r="C9" s="1286"/>
      <c r="D9" s="274" t="s">
        <v>438</v>
      </c>
      <c r="E9" s="1281"/>
      <c r="F9" s="1282"/>
    </row>
    <row r="10" spans="1:7" ht="94.5" customHeight="1" thickBot="1" x14ac:dyDescent="0.3">
      <c r="A10" s="1263"/>
      <c r="B10" s="1287" t="s">
        <v>703</v>
      </c>
      <c r="C10" s="1288"/>
      <c r="D10" s="511" t="s">
        <v>704</v>
      </c>
      <c r="E10" s="1283"/>
      <c r="F10" s="1284"/>
    </row>
    <row r="11" spans="1:7" ht="15.6" thickBot="1" x14ac:dyDescent="0.3">
      <c r="A11" s="88"/>
      <c r="D11" s="28"/>
      <c r="E11" s="28"/>
    </row>
    <row r="12" spans="1:7" ht="67.5" customHeight="1" thickBot="1" x14ac:dyDescent="0.3">
      <c r="A12" s="417" t="s">
        <v>21</v>
      </c>
      <c r="B12" s="512" t="s">
        <v>48</v>
      </c>
      <c r="C12" s="1253" t="s">
        <v>64</v>
      </c>
      <c r="D12" s="1254"/>
      <c r="E12" s="1253" t="s">
        <v>439</v>
      </c>
      <c r="F12" s="1254"/>
      <c r="G12" s="2"/>
    </row>
    <row r="13" spans="1:7" ht="87.75" customHeight="1" thickBot="1" x14ac:dyDescent="0.3">
      <c r="A13" s="417"/>
      <c r="B13" s="514" t="s">
        <v>705</v>
      </c>
      <c r="C13" s="1255" t="s">
        <v>706</v>
      </c>
      <c r="D13" s="1255"/>
      <c r="E13" s="1255" t="s">
        <v>707</v>
      </c>
      <c r="F13" s="1255"/>
      <c r="G13" s="2"/>
    </row>
    <row r="14" spans="1:7" ht="71.25" customHeight="1" thickBot="1" x14ac:dyDescent="0.3">
      <c r="A14" s="417"/>
      <c r="B14" s="514" t="s">
        <v>708</v>
      </c>
      <c r="C14" s="1251" t="s">
        <v>709</v>
      </c>
      <c r="D14" s="1251"/>
      <c r="E14" s="1256" t="s">
        <v>710</v>
      </c>
      <c r="F14" s="1257"/>
      <c r="G14" s="2"/>
    </row>
    <row r="15" spans="1:7" ht="102.75" customHeight="1" thickBot="1" x14ac:dyDescent="0.3">
      <c r="A15" s="417"/>
      <c r="B15" s="1251" t="s">
        <v>711</v>
      </c>
      <c r="C15" s="1255" t="s">
        <v>712</v>
      </c>
      <c r="D15" s="1255"/>
      <c r="E15" s="1272" t="s">
        <v>713</v>
      </c>
      <c r="F15" s="1272"/>
      <c r="G15" s="2"/>
    </row>
    <row r="16" spans="1:7" ht="27.75" customHeight="1" thickBot="1" x14ac:dyDescent="0.3">
      <c r="A16" s="417"/>
      <c r="B16" s="1252"/>
      <c r="C16" s="1250" t="s">
        <v>714</v>
      </c>
      <c r="D16" s="1250"/>
      <c r="E16" s="1272"/>
      <c r="F16" s="1272"/>
      <c r="G16" s="2"/>
    </row>
    <row r="17" spans="1:6" ht="66" x14ac:dyDescent="0.25">
      <c r="A17" s="417"/>
      <c r="B17" s="513" t="s">
        <v>715</v>
      </c>
      <c r="C17" s="1250" t="s">
        <v>716</v>
      </c>
      <c r="D17" s="1250"/>
      <c r="E17" s="1250" t="s">
        <v>717</v>
      </c>
      <c r="F17" s="1250"/>
    </row>
    <row r="18" spans="1:6" x14ac:dyDescent="0.25">
      <c r="D18" s="28"/>
      <c r="E18" s="28"/>
    </row>
    <row r="19" spans="1:6" x14ac:dyDescent="0.25">
      <c r="D19" s="28"/>
      <c r="E19" s="28"/>
    </row>
    <row r="20" spans="1:6" x14ac:dyDescent="0.25">
      <c r="D20" s="28"/>
      <c r="E20" s="28"/>
    </row>
  </sheetData>
  <mergeCells count="25">
    <mergeCell ref="E15:F16"/>
    <mergeCell ref="B7:B8"/>
    <mergeCell ref="C7:C8"/>
    <mergeCell ref="D7:D8"/>
    <mergeCell ref="E7:F10"/>
    <mergeCell ref="B9:C9"/>
    <mergeCell ref="B10:C10"/>
    <mergeCell ref="C16:D16"/>
    <mergeCell ref="E12:F12"/>
    <mergeCell ref="C17:D17"/>
    <mergeCell ref="E17:F17"/>
    <mergeCell ref="B15:B16"/>
    <mergeCell ref="A1:E1"/>
    <mergeCell ref="C12:D12"/>
    <mergeCell ref="C13:D13"/>
    <mergeCell ref="C14:D14"/>
    <mergeCell ref="C15:D15"/>
    <mergeCell ref="E13:F13"/>
    <mergeCell ref="E14:F14"/>
    <mergeCell ref="E6:F6"/>
    <mergeCell ref="A6:A10"/>
    <mergeCell ref="A3:B3"/>
    <mergeCell ref="A4:B4"/>
    <mergeCell ref="E4:F4"/>
    <mergeCell ref="E3:F3"/>
  </mergeCells>
  <phoneticPr fontId="40" type="noConversion"/>
  <printOptions horizontalCentered="1"/>
  <pageMargins left="0.15748031496062992" right="0.15748031496062992" top="0.98425196850393704" bottom="0.98425196850393704" header="0" footer="0"/>
  <pageSetup scale="8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4"/>
  </sheetPr>
  <dimension ref="A1:F46"/>
  <sheetViews>
    <sheetView zoomScaleNormal="100" workbookViewId="0">
      <selection activeCell="C45" sqref="C45:C46"/>
    </sheetView>
  </sheetViews>
  <sheetFormatPr baseColWidth="10" defaultColWidth="11.44140625" defaultRowHeight="14.4" x14ac:dyDescent="0.3"/>
  <cols>
    <col min="1" max="1" width="4.5546875" style="214" customWidth="1"/>
    <col min="2" max="2" width="52" style="214" customWidth="1"/>
    <col min="3" max="3" width="5.109375" style="216" customWidth="1"/>
    <col min="4" max="4" width="49" style="214" customWidth="1"/>
    <col min="5" max="5" width="5.44140625" style="214" bestFit="1" customWidth="1"/>
    <col min="6" max="6" width="47.6640625" style="214" customWidth="1"/>
    <col min="7" max="7" width="6.6640625" style="214" bestFit="1" customWidth="1"/>
    <col min="8" max="8" width="37.5546875" style="214" customWidth="1"/>
    <col min="9" max="9" width="11.44140625" style="214"/>
    <col min="10" max="10" width="6.6640625" style="214" bestFit="1" customWidth="1"/>
    <col min="11" max="11" width="35" style="214" customWidth="1"/>
    <col min="12" max="16384" width="11.44140625" style="214"/>
  </cols>
  <sheetData>
    <row r="1" spans="1:6" ht="43.5" customHeight="1" thickBot="1" x14ac:dyDescent="0.35">
      <c r="A1" s="1168" t="s">
        <v>255</v>
      </c>
      <c r="B1" s="1169"/>
      <c r="C1" s="1169"/>
      <c r="D1" s="1169"/>
      <c r="E1" s="1170"/>
      <c r="F1" s="87" t="s">
        <v>381</v>
      </c>
    </row>
    <row r="2" spans="1:6" ht="23.4" x14ac:dyDescent="0.45">
      <c r="A2" s="215"/>
      <c r="D2" s="215"/>
    </row>
    <row r="3" spans="1:6" ht="56.25" customHeight="1" thickBot="1" x14ac:dyDescent="0.35">
      <c r="A3" s="1315" t="s">
        <v>334</v>
      </c>
      <c r="B3" s="1315"/>
      <c r="C3" s="1315"/>
      <c r="D3" s="1315"/>
      <c r="E3" s="1315"/>
      <c r="F3" s="1315"/>
    </row>
    <row r="4" spans="1:6" ht="15" thickBot="1" x14ac:dyDescent="0.35">
      <c r="B4" s="564" t="s">
        <v>443</v>
      </c>
      <c r="C4" s="565"/>
      <c r="D4" s="565"/>
      <c r="E4" s="565"/>
      <c r="F4" s="566"/>
    </row>
    <row r="5" spans="1:6" ht="16.5" customHeight="1" x14ac:dyDescent="0.3">
      <c r="A5" s="1311" t="s">
        <v>256</v>
      </c>
      <c r="B5" s="1312"/>
      <c r="C5" s="1316" t="s">
        <v>257</v>
      </c>
      <c r="D5" s="1317"/>
      <c r="E5" s="1318" t="s">
        <v>258</v>
      </c>
      <c r="F5" s="1318"/>
    </row>
    <row r="6" spans="1:6" s="517" customFormat="1" ht="90" customHeight="1" x14ac:dyDescent="0.3">
      <c r="A6" s="1311"/>
      <c r="B6" s="1312"/>
      <c r="C6" s="515" t="s">
        <v>259</v>
      </c>
      <c r="D6" s="547" t="s">
        <v>782</v>
      </c>
      <c r="E6" s="515" t="s">
        <v>260</v>
      </c>
      <c r="F6" s="516" t="s">
        <v>718</v>
      </c>
    </row>
    <row r="7" spans="1:6" s="517" customFormat="1" ht="117.75" customHeight="1" x14ac:dyDescent="0.3">
      <c r="A7" s="1311"/>
      <c r="B7" s="1312"/>
      <c r="C7" s="515" t="s">
        <v>261</v>
      </c>
      <c r="D7" s="547" t="s">
        <v>783</v>
      </c>
      <c r="E7" s="515" t="s">
        <v>262</v>
      </c>
      <c r="F7" s="516" t="s">
        <v>784</v>
      </c>
    </row>
    <row r="8" spans="1:6" s="517" customFormat="1" ht="141.75" customHeight="1" x14ac:dyDescent="0.3">
      <c r="A8" s="1311"/>
      <c r="B8" s="1312"/>
      <c r="C8" s="515" t="s">
        <v>263</v>
      </c>
      <c r="D8" s="547" t="s">
        <v>719</v>
      </c>
      <c r="E8" s="515" t="s">
        <v>264</v>
      </c>
      <c r="F8" s="516" t="s">
        <v>720</v>
      </c>
    </row>
    <row r="9" spans="1:6" s="517" customFormat="1" ht="90" customHeight="1" x14ac:dyDescent="0.3">
      <c r="A9" s="1311"/>
      <c r="B9" s="1312"/>
      <c r="C9" s="515" t="s">
        <v>265</v>
      </c>
      <c r="D9" s="518" t="s">
        <v>721</v>
      </c>
      <c r="E9" s="515" t="s">
        <v>266</v>
      </c>
      <c r="F9" s="516" t="s">
        <v>722</v>
      </c>
    </row>
    <row r="10" spans="1:6" s="517" customFormat="1" ht="90" customHeight="1" x14ac:dyDescent="0.3">
      <c r="A10" s="1311"/>
      <c r="B10" s="1312"/>
      <c r="C10" s="515" t="s">
        <v>265</v>
      </c>
      <c r="D10" s="518" t="s">
        <v>723</v>
      </c>
      <c r="E10" s="515" t="s">
        <v>268</v>
      </c>
      <c r="F10" s="516" t="s">
        <v>724</v>
      </c>
    </row>
    <row r="11" spans="1:6" s="517" customFormat="1" ht="90" customHeight="1" x14ac:dyDescent="0.3">
      <c r="A11" s="1311"/>
      <c r="B11" s="1312"/>
      <c r="C11" s="515" t="s">
        <v>267</v>
      </c>
      <c r="D11" s="451" t="s">
        <v>777</v>
      </c>
      <c r="E11" s="515" t="s">
        <v>270</v>
      </c>
      <c r="F11" s="516" t="s">
        <v>725</v>
      </c>
    </row>
    <row r="12" spans="1:6" s="517" customFormat="1" ht="90" customHeight="1" x14ac:dyDescent="0.3">
      <c r="A12" s="1311"/>
      <c r="B12" s="1312"/>
      <c r="C12" s="515" t="s">
        <v>269</v>
      </c>
      <c r="D12" s="449" t="s">
        <v>726</v>
      </c>
      <c r="E12" s="515" t="s">
        <v>272</v>
      </c>
      <c r="F12" s="516" t="s">
        <v>727</v>
      </c>
    </row>
    <row r="13" spans="1:6" s="517" customFormat="1" ht="90" customHeight="1" x14ac:dyDescent="0.3">
      <c r="A13" s="1311"/>
      <c r="B13" s="1312"/>
      <c r="C13" s="515" t="s">
        <v>271</v>
      </c>
      <c r="D13" s="519" t="s">
        <v>728</v>
      </c>
      <c r="E13" s="515" t="s">
        <v>274</v>
      </c>
      <c r="F13" s="516" t="s">
        <v>729</v>
      </c>
    </row>
    <row r="14" spans="1:6" s="517" customFormat="1" ht="90" customHeight="1" x14ac:dyDescent="0.3">
      <c r="A14" s="1311"/>
      <c r="B14" s="1312"/>
      <c r="C14" s="515" t="s">
        <v>273</v>
      </c>
      <c r="D14" s="518" t="s">
        <v>730</v>
      </c>
      <c r="E14" s="515" t="s">
        <v>276</v>
      </c>
      <c r="F14" s="516" t="s">
        <v>731</v>
      </c>
    </row>
    <row r="15" spans="1:6" s="517" customFormat="1" ht="90" customHeight="1" x14ac:dyDescent="0.3">
      <c r="A15" s="1311"/>
      <c r="B15" s="1312"/>
      <c r="C15" s="515" t="s">
        <v>275</v>
      </c>
      <c r="D15" s="547" t="s">
        <v>732</v>
      </c>
      <c r="E15" s="515" t="s">
        <v>278</v>
      </c>
      <c r="F15" s="516" t="s">
        <v>733</v>
      </c>
    </row>
    <row r="16" spans="1:6" s="517" customFormat="1" ht="90" customHeight="1" x14ac:dyDescent="0.3">
      <c r="A16" s="1311"/>
      <c r="B16" s="1312"/>
      <c r="C16" s="515" t="s">
        <v>275</v>
      </c>
      <c r="D16" s="520" t="s">
        <v>734</v>
      </c>
      <c r="E16" s="515" t="s">
        <v>735</v>
      </c>
      <c r="F16" s="516" t="s">
        <v>736</v>
      </c>
    </row>
    <row r="17" spans="1:6" s="517" customFormat="1" ht="90" customHeight="1" x14ac:dyDescent="0.3">
      <c r="A17" s="1311"/>
      <c r="B17" s="1312"/>
      <c r="C17" s="515" t="s">
        <v>277</v>
      </c>
      <c r="D17" s="518" t="s">
        <v>737</v>
      </c>
      <c r="E17" s="515" t="s">
        <v>738</v>
      </c>
      <c r="F17" s="516" t="s">
        <v>739</v>
      </c>
    </row>
    <row r="18" spans="1:6" s="517" customFormat="1" ht="114.75" customHeight="1" x14ac:dyDescent="0.3">
      <c r="A18" s="1311"/>
      <c r="B18" s="1312"/>
      <c r="C18" s="515" t="s">
        <v>740</v>
      </c>
      <c r="D18" s="518" t="s">
        <v>741</v>
      </c>
      <c r="E18" s="515" t="s">
        <v>742</v>
      </c>
      <c r="F18" s="516" t="s">
        <v>743</v>
      </c>
    </row>
    <row r="19" spans="1:6" s="517" customFormat="1" ht="90" customHeight="1" x14ac:dyDescent="0.3">
      <c r="A19" s="1311"/>
      <c r="B19" s="1312"/>
      <c r="C19" s="515"/>
      <c r="D19" s="567"/>
      <c r="E19" s="515" t="s">
        <v>744</v>
      </c>
      <c r="F19" s="516" t="s">
        <v>745</v>
      </c>
    </row>
    <row r="20" spans="1:6" s="517" customFormat="1" ht="90" customHeight="1" x14ac:dyDescent="0.3">
      <c r="A20" s="1311"/>
      <c r="B20" s="1312"/>
      <c r="C20" s="515"/>
      <c r="D20" s="567"/>
      <c r="E20" s="515" t="s">
        <v>746</v>
      </c>
      <c r="F20" s="516" t="s">
        <v>747</v>
      </c>
    </row>
    <row r="21" spans="1:6" s="517" customFormat="1" ht="90" customHeight="1" x14ac:dyDescent="0.3">
      <c r="A21" s="1311"/>
      <c r="B21" s="1312"/>
      <c r="C21" s="515"/>
      <c r="D21" s="567"/>
      <c r="E21" s="515" t="s">
        <v>748</v>
      </c>
      <c r="F21" s="516" t="s">
        <v>749</v>
      </c>
    </row>
    <row r="22" spans="1:6" s="517" customFormat="1" ht="148.5" customHeight="1" x14ac:dyDescent="0.3">
      <c r="A22" s="1311"/>
      <c r="B22" s="1312"/>
      <c r="C22" s="515"/>
      <c r="D22" s="567"/>
      <c r="E22" s="515" t="s">
        <v>750</v>
      </c>
      <c r="F22" s="516" t="s">
        <v>751</v>
      </c>
    </row>
    <row r="23" spans="1:6" s="517" customFormat="1" ht="90" customHeight="1" x14ac:dyDescent="0.3">
      <c r="A23" s="1311"/>
      <c r="B23" s="1312"/>
      <c r="C23" s="515" t="s">
        <v>259</v>
      </c>
      <c r="D23" s="569"/>
      <c r="E23" s="515">
        <v>19</v>
      </c>
      <c r="F23" s="522" t="s">
        <v>752</v>
      </c>
    </row>
    <row r="24" spans="1:6" s="517" customFormat="1" ht="90" customHeight="1" x14ac:dyDescent="0.3">
      <c r="A24" s="1311"/>
      <c r="B24" s="1312"/>
      <c r="C24" s="515" t="s">
        <v>261</v>
      </c>
      <c r="D24" s="569"/>
      <c r="E24" s="515" t="s">
        <v>753</v>
      </c>
      <c r="F24" s="522" t="s">
        <v>754</v>
      </c>
    </row>
    <row r="25" spans="1:6" s="517" customFormat="1" ht="90" customHeight="1" x14ac:dyDescent="0.3">
      <c r="A25" s="1311"/>
      <c r="B25" s="1312"/>
      <c r="C25" s="568" t="s">
        <v>263</v>
      </c>
      <c r="D25" s="569"/>
      <c r="E25" s="521" t="s">
        <v>755</v>
      </c>
      <c r="F25" s="522" t="s">
        <v>756</v>
      </c>
    </row>
    <row r="26" spans="1:6" s="517" customFormat="1" ht="90" customHeight="1" x14ac:dyDescent="0.3">
      <c r="A26" s="1313"/>
      <c r="B26" s="1314"/>
      <c r="C26" s="568" t="s">
        <v>265</v>
      </c>
      <c r="D26" s="569"/>
      <c r="E26" s="521" t="s">
        <v>757</v>
      </c>
      <c r="F26" s="522" t="s">
        <v>758</v>
      </c>
    </row>
    <row r="27" spans="1:6" s="517" customFormat="1" ht="90" customHeight="1" x14ac:dyDescent="0.3">
      <c r="A27" s="1308" t="s">
        <v>279</v>
      </c>
      <c r="B27" s="1308"/>
      <c r="C27" s="1309" t="s">
        <v>759</v>
      </c>
      <c r="D27" s="1309"/>
      <c r="E27" s="1310" t="s">
        <v>788</v>
      </c>
      <c r="F27" s="1310"/>
    </row>
    <row r="28" spans="1:6" s="517" customFormat="1" ht="66.75" customHeight="1" x14ac:dyDescent="0.3">
      <c r="A28" s="523" t="s">
        <v>280</v>
      </c>
      <c r="B28" s="444" t="s">
        <v>785</v>
      </c>
      <c r="C28" s="1296" t="s">
        <v>281</v>
      </c>
      <c r="D28" s="1300" t="s">
        <v>760</v>
      </c>
      <c r="E28" s="1296" t="s">
        <v>282</v>
      </c>
      <c r="F28" s="1300" t="s">
        <v>761</v>
      </c>
    </row>
    <row r="29" spans="1:6" s="517" customFormat="1" ht="88.5" customHeight="1" x14ac:dyDescent="0.3">
      <c r="A29" s="523" t="s">
        <v>283</v>
      </c>
      <c r="B29" s="444" t="s">
        <v>762</v>
      </c>
      <c r="C29" s="1296"/>
      <c r="D29" s="1301"/>
      <c r="E29" s="1296"/>
      <c r="F29" s="1301"/>
    </row>
    <row r="30" spans="1:6" s="517" customFormat="1" ht="45.75" customHeight="1" x14ac:dyDescent="0.3">
      <c r="A30" s="523" t="s">
        <v>284</v>
      </c>
      <c r="B30" s="444" t="s">
        <v>763</v>
      </c>
      <c r="C30" s="1296" t="s">
        <v>285</v>
      </c>
      <c r="D30" s="1297" t="s">
        <v>764</v>
      </c>
      <c r="E30" s="1296" t="s">
        <v>286</v>
      </c>
      <c r="F30" s="1297" t="s">
        <v>765</v>
      </c>
    </row>
    <row r="31" spans="1:6" s="517" customFormat="1" ht="48" customHeight="1" x14ac:dyDescent="0.3">
      <c r="A31" s="523" t="s">
        <v>287</v>
      </c>
      <c r="B31" s="444" t="s">
        <v>766</v>
      </c>
      <c r="C31" s="1296"/>
      <c r="D31" s="1297"/>
      <c r="E31" s="1296"/>
      <c r="F31" s="1297"/>
    </row>
    <row r="32" spans="1:6" s="517" customFormat="1" ht="90" customHeight="1" x14ac:dyDescent="0.3">
      <c r="A32" s="523" t="s">
        <v>288</v>
      </c>
      <c r="B32" s="445" t="s">
        <v>767</v>
      </c>
      <c r="C32" s="1299" t="s">
        <v>289</v>
      </c>
      <c r="D32" s="1300" t="s">
        <v>768</v>
      </c>
      <c r="E32" s="1299" t="s">
        <v>290</v>
      </c>
      <c r="F32" s="1302"/>
    </row>
    <row r="33" spans="1:6" s="517" customFormat="1" ht="47.25" customHeight="1" x14ac:dyDescent="0.3">
      <c r="A33" s="523" t="s">
        <v>291</v>
      </c>
      <c r="B33" s="444" t="s">
        <v>769</v>
      </c>
      <c r="C33" s="1299"/>
      <c r="D33" s="1301"/>
      <c r="E33" s="1299"/>
      <c r="F33" s="1302"/>
    </row>
    <row r="34" spans="1:6" s="517" customFormat="1" ht="39.75" customHeight="1" x14ac:dyDescent="0.3">
      <c r="A34" s="523" t="s">
        <v>292</v>
      </c>
      <c r="B34" s="522" t="s">
        <v>789</v>
      </c>
      <c r="C34" s="1303" t="s">
        <v>293</v>
      </c>
      <c r="D34" s="1298"/>
      <c r="E34" s="1303" t="s">
        <v>294</v>
      </c>
      <c r="F34" s="1298"/>
    </row>
    <row r="35" spans="1:6" s="517" customFormat="1" ht="42.75" customHeight="1" x14ac:dyDescent="0.3">
      <c r="A35" s="523" t="s">
        <v>295</v>
      </c>
      <c r="B35" s="522" t="s">
        <v>770</v>
      </c>
      <c r="C35" s="1303"/>
      <c r="D35" s="1298"/>
      <c r="E35" s="1303"/>
      <c r="F35" s="1298"/>
    </row>
    <row r="36" spans="1:6" s="517" customFormat="1" ht="63.75" customHeight="1" x14ac:dyDescent="0.3">
      <c r="A36" s="523" t="s">
        <v>296</v>
      </c>
      <c r="B36" s="522" t="s">
        <v>771</v>
      </c>
      <c r="C36" s="1303" t="s">
        <v>297</v>
      </c>
      <c r="D36" s="1298"/>
      <c r="E36" s="1303" t="s">
        <v>298</v>
      </c>
      <c r="F36" s="1298"/>
    </row>
    <row r="37" spans="1:6" s="517" customFormat="1" ht="90" customHeight="1" x14ac:dyDescent="0.3">
      <c r="A37" s="523" t="s">
        <v>299</v>
      </c>
      <c r="B37" s="524"/>
      <c r="C37" s="1303"/>
      <c r="D37" s="1298"/>
      <c r="E37" s="1303"/>
      <c r="F37" s="1298"/>
    </row>
    <row r="38" spans="1:6" s="517" customFormat="1" ht="90" customHeight="1" x14ac:dyDescent="0.3">
      <c r="A38" s="1304" t="s">
        <v>300</v>
      </c>
      <c r="B38" s="1305"/>
      <c r="C38" s="1306" t="s">
        <v>772</v>
      </c>
      <c r="D38" s="1306"/>
      <c r="E38" s="1307" t="s">
        <v>773</v>
      </c>
      <c r="F38" s="1307"/>
    </row>
    <row r="39" spans="1:6" s="517" customFormat="1" ht="90" customHeight="1" x14ac:dyDescent="0.3">
      <c r="A39" s="525" t="s">
        <v>303</v>
      </c>
      <c r="B39" s="526" t="s">
        <v>778</v>
      </c>
      <c r="C39" s="1292" t="s">
        <v>301</v>
      </c>
      <c r="D39" s="1293" t="s">
        <v>786</v>
      </c>
      <c r="E39" s="1292" t="s">
        <v>302</v>
      </c>
      <c r="F39" s="1295" t="s">
        <v>787</v>
      </c>
    </row>
    <row r="40" spans="1:6" s="517" customFormat="1" ht="129.75" customHeight="1" x14ac:dyDescent="0.3">
      <c r="A40" s="525" t="s">
        <v>306</v>
      </c>
      <c r="B40" s="527" t="s">
        <v>779</v>
      </c>
      <c r="C40" s="1292"/>
      <c r="D40" s="1294"/>
      <c r="E40" s="1292"/>
      <c r="F40" s="1295"/>
    </row>
    <row r="41" spans="1:6" s="517" customFormat="1" ht="90" customHeight="1" x14ac:dyDescent="0.3">
      <c r="A41" s="525" t="s">
        <v>307</v>
      </c>
      <c r="B41" s="527" t="s">
        <v>780</v>
      </c>
      <c r="C41" s="1292" t="s">
        <v>304</v>
      </c>
      <c r="D41" s="1293" t="s">
        <v>774</v>
      </c>
      <c r="E41" s="1292" t="s">
        <v>305</v>
      </c>
      <c r="F41" s="1295" t="s">
        <v>775</v>
      </c>
    </row>
    <row r="42" spans="1:6" s="517" customFormat="1" ht="57.75" customHeight="1" x14ac:dyDescent="0.3">
      <c r="A42" s="525" t="s">
        <v>310</v>
      </c>
      <c r="B42" s="1289" t="s">
        <v>781</v>
      </c>
      <c r="C42" s="1292"/>
      <c r="D42" s="1294"/>
      <c r="E42" s="1292"/>
      <c r="F42" s="1295"/>
    </row>
    <row r="43" spans="1:6" s="517" customFormat="1" ht="35.25" customHeight="1" x14ac:dyDescent="0.3">
      <c r="A43" s="525" t="s">
        <v>311</v>
      </c>
      <c r="B43" s="1290"/>
      <c r="C43" s="1292" t="s">
        <v>308</v>
      </c>
      <c r="D43" s="1293" t="s">
        <v>792</v>
      </c>
      <c r="E43" s="1292" t="s">
        <v>309</v>
      </c>
      <c r="F43" s="1295" t="s">
        <v>776</v>
      </c>
    </row>
    <row r="44" spans="1:6" s="517" customFormat="1" ht="29.25" customHeight="1" x14ac:dyDescent="0.3">
      <c r="A44" s="525" t="s">
        <v>314</v>
      </c>
      <c r="B44" s="1290"/>
      <c r="C44" s="1292"/>
      <c r="D44" s="1294"/>
      <c r="E44" s="1292"/>
      <c r="F44" s="1295"/>
    </row>
    <row r="45" spans="1:6" s="517" customFormat="1" ht="90" customHeight="1" x14ac:dyDescent="0.3">
      <c r="A45" s="525" t="s">
        <v>315</v>
      </c>
      <c r="B45" s="1290"/>
      <c r="C45" s="1292" t="s">
        <v>312</v>
      </c>
      <c r="D45" s="1293" t="s">
        <v>791</v>
      </c>
      <c r="E45" s="1292" t="s">
        <v>313</v>
      </c>
      <c r="F45" s="1295" t="s">
        <v>790</v>
      </c>
    </row>
    <row r="46" spans="1:6" s="517" customFormat="1" ht="90" customHeight="1" x14ac:dyDescent="0.3">
      <c r="A46" s="525" t="s">
        <v>316</v>
      </c>
      <c r="B46" s="1291"/>
      <c r="C46" s="1292"/>
      <c r="D46" s="1294"/>
      <c r="E46" s="1292"/>
      <c r="F46" s="1295"/>
    </row>
  </sheetData>
  <mergeCells count="48">
    <mergeCell ref="A5:B26"/>
    <mergeCell ref="A1:E1"/>
    <mergeCell ref="A3:F3"/>
    <mergeCell ref="C5:D5"/>
    <mergeCell ref="E5:F5"/>
    <mergeCell ref="A27:B27"/>
    <mergeCell ref="C27:D27"/>
    <mergeCell ref="E27:F27"/>
    <mergeCell ref="C28:C29"/>
    <mergeCell ref="D28:D29"/>
    <mergeCell ref="E28:E29"/>
    <mergeCell ref="F28:F29"/>
    <mergeCell ref="C36:C37"/>
    <mergeCell ref="D36:D37"/>
    <mergeCell ref="E36:E37"/>
    <mergeCell ref="F36:F37"/>
    <mergeCell ref="A38:B38"/>
    <mergeCell ref="C38:D38"/>
    <mergeCell ref="E38:F38"/>
    <mergeCell ref="C30:C31"/>
    <mergeCell ref="D30:D31"/>
    <mergeCell ref="E30:E31"/>
    <mergeCell ref="F30:F31"/>
    <mergeCell ref="F34:F35"/>
    <mergeCell ref="C32:C33"/>
    <mergeCell ref="D32:D33"/>
    <mergeCell ref="E32:E33"/>
    <mergeCell ref="F32:F33"/>
    <mergeCell ref="C34:C35"/>
    <mergeCell ref="D34:D35"/>
    <mergeCell ref="E34:E35"/>
    <mergeCell ref="C39:C40"/>
    <mergeCell ref="D39:D40"/>
    <mergeCell ref="E39:E40"/>
    <mergeCell ref="F39:F40"/>
    <mergeCell ref="C45:C46"/>
    <mergeCell ref="D45:D46"/>
    <mergeCell ref="E45:E46"/>
    <mergeCell ref="F45:F46"/>
    <mergeCell ref="B42:B46"/>
    <mergeCell ref="C41:C42"/>
    <mergeCell ref="D41:D42"/>
    <mergeCell ref="E41:E42"/>
    <mergeCell ref="F41:F42"/>
    <mergeCell ref="C43:C44"/>
    <mergeCell ref="D43:D44"/>
    <mergeCell ref="E43:E44"/>
    <mergeCell ref="F43:F4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4"/>
  </sheetPr>
  <dimension ref="A1:I29"/>
  <sheetViews>
    <sheetView topLeftCell="A28" zoomScale="80" zoomScaleNormal="80" zoomScaleSheetLayoutView="100" workbookViewId="0">
      <selection activeCell="J12" sqref="J12"/>
    </sheetView>
  </sheetViews>
  <sheetFormatPr baseColWidth="10" defaultColWidth="11.44140625" defaultRowHeight="13.8" x14ac:dyDescent="0.3"/>
  <cols>
    <col min="1" max="1" width="15.44140625" style="33" customWidth="1"/>
    <col min="2" max="2" width="23.109375" style="33" customWidth="1"/>
    <col min="3" max="3" width="21.44140625" style="33" customWidth="1"/>
    <col min="4" max="4" width="16.88671875" style="33" customWidth="1"/>
    <col min="5" max="5" width="16.6640625" style="33" customWidth="1"/>
    <col min="6" max="6" width="22.88671875" style="33" customWidth="1"/>
    <col min="7" max="7" width="17" style="33" customWidth="1"/>
    <col min="8" max="8" width="39.33203125" style="33" customWidth="1"/>
    <col min="9" max="9" width="17.6640625" style="33" customWidth="1"/>
    <col min="10" max="16384" width="11.44140625" style="33"/>
  </cols>
  <sheetData>
    <row r="1" spans="1:9" s="214" customFormat="1" ht="36" customHeight="1" thickBot="1" x14ac:dyDescent="0.35">
      <c r="A1" s="1334" t="s">
        <v>402</v>
      </c>
      <c r="B1" s="1335"/>
      <c r="C1" s="1335"/>
      <c r="D1" s="1335"/>
      <c r="E1" s="1335"/>
      <c r="F1" s="1335"/>
      <c r="G1" s="1335"/>
      <c r="H1" s="1336"/>
      <c r="I1" s="87" t="s">
        <v>382</v>
      </c>
    </row>
    <row r="2" spans="1:9" ht="20.100000000000001" customHeight="1" x14ac:dyDescent="0.3">
      <c r="A2" s="1339" t="s">
        <v>793</v>
      </c>
      <c r="B2" s="1340"/>
      <c r="C2" s="1340"/>
      <c r="D2" s="1340"/>
      <c r="E2" s="1340"/>
      <c r="F2" s="1340"/>
      <c r="G2" s="1340"/>
    </row>
    <row r="3" spans="1:9" ht="20.100000000000001" customHeight="1" thickBot="1" x14ac:dyDescent="0.35">
      <c r="A3" s="188"/>
      <c r="B3" s="197"/>
      <c r="C3" s="30"/>
      <c r="D3" s="197"/>
      <c r="E3" s="30"/>
      <c r="F3" s="30"/>
      <c r="G3" s="30"/>
      <c r="H3" s="197"/>
      <c r="I3" s="30"/>
    </row>
    <row r="4" spans="1:9" ht="24" customHeight="1" x14ac:dyDescent="0.3">
      <c r="A4" s="1330" t="s">
        <v>21</v>
      </c>
      <c r="B4" s="1332" t="s">
        <v>234</v>
      </c>
      <c r="C4" s="533" t="s">
        <v>87</v>
      </c>
      <c r="D4" s="533" t="s">
        <v>88</v>
      </c>
      <c r="E4" s="533" t="s">
        <v>89</v>
      </c>
      <c r="F4" s="533" t="s">
        <v>235</v>
      </c>
      <c r="G4" s="1332" t="s">
        <v>236</v>
      </c>
      <c r="H4" s="1332" t="s">
        <v>237</v>
      </c>
      <c r="I4" s="1337" t="s">
        <v>238</v>
      </c>
    </row>
    <row r="5" spans="1:9" ht="46.5" customHeight="1" x14ac:dyDescent="0.3">
      <c r="A5" s="1331"/>
      <c r="B5" s="1333"/>
      <c r="C5" s="528" t="s">
        <v>239</v>
      </c>
      <c r="D5" s="528" t="s">
        <v>240</v>
      </c>
      <c r="E5" s="528" t="s">
        <v>241</v>
      </c>
      <c r="F5" s="528" t="s">
        <v>242</v>
      </c>
      <c r="G5" s="1333"/>
      <c r="H5" s="1333"/>
      <c r="I5" s="1338"/>
    </row>
    <row r="6" spans="1:9" ht="20.100000000000001" customHeight="1" x14ac:dyDescent="0.3">
      <c r="A6" s="534"/>
      <c r="B6" s="189"/>
      <c r="C6" s="189"/>
      <c r="D6" s="189"/>
      <c r="E6" s="189"/>
      <c r="F6" s="189"/>
      <c r="G6" s="189"/>
      <c r="H6" s="189"/>
      <c r="I6" s="535"/>
    </row>
    <row r="7" spans="1:9" ht="83.25" customHeight="1" x14ac:dyDescent="0.3">
      <c r="A7" s="540">
        <v>1</v>
      </c>
      <c r="B7" s="529" t="s">
        <v>794</v>
      </c>
      <c r="C7" s="529">
        <v>1</v>
      </c>
      <c r="D7" s="529">
        <v>1</v>
      </c>
      <c r="E7" s="529">
        <v>1</v>
      </c>
      <c r="F7" s="529">
        <v>-1</v>
      </c>
      <c r="G7" s="529" t="s">
        <v>816</v>
      </c>
      <c r="H7" s="529" t="s">
        <v>795</v>
      </c>
      <c r="I7" s="536" t="s">
        <v>796</v>
      </c>
    </row>
    <row r="8" spans="1:9" ht="83.25" customHeight="1" x14ac:dyDescent="0.3">
      <c r="A8" s="540">
        <v>2</v>
      </c>
      <c r="B8" s="529" t="s">
        <v>797</v>
      </c>
      <c r="C8" s="529">
        <v>1</v>
      </c>
      <c r="D8" s="529">
        <v>0</v>
      </c>
      <c r="E8" s="529">
        <v>1</v>
      </c>
      <c r="F8" s="529">
        <v>-1</v>
      </c>
      <c r="G8" s="529" t="s">
        <v>816</v>
      </c>
      <c r="H8" s="529" t="s">
        <v>820</v>
      </c>
      <c r="I8" s="536" t="s">
        <v>796</v>
      </c>
    </row>
    <row r="9" spans="1:9" ht="78.75" customHeight="1" x14ac:dyDescent="0.3">
      <c r="A9" s="540">
        <v>3</v>
      </c>
      <c r="B9" s="529" t="s">
        <v>798</v>
      </c>
      <c r="C9" s="529">
        <v>1</v>
      </c>
      <c r="D9" s="529">
        <v>1</v>
      </c>
      <c r="E9" s="529">
        <v>1</v>
      </c>
      <c r="F9" s="529">
        <v>1</v>
      </c>
      <c r="G9" s="529" t="s">
        <v>809</v>
      </c>
      <c r="H9" s="529" t="s">
        <v>799</v>
      </c>
      <c r="I9" s="536" t="s">
        <v>22</v>
      </c>
    </row>
    <row r="10" spans="1:9" ht="90" customHeight="1" x14ac:dyDescent="0.3">
      <c r="A10" s="540">
        <v>4</v>
      </c>
      <c r="B10" s="529" t="s">
        <v>800</v>
      </c>
      <c r="C10" s="529">
        <v>0</v>
      </c>
      <c r="D10" s="529">
        <v>0</v>
      </c>
      <c r="E10" s="529">
        <v>0</v>
      </c>
      <c r="F10" s="529">
        <v>-1</v>
      </c>
      <c r="G10" s="529" t="s">
        <v>801</v>
      </c>
      <c r="H10" s="529" t="s">
        <v>802</v>
      </c>
      <c r="I10" s="536" t="s">
        <v>796</v>
      </c>
    </row>
    <row r="11" spans="1:9" ht="96.75" customHeight="1" x14ac:dyDescent="0.3">
      <c r="A11" s="540">
        <v>5</v>
      </c>
      <c r="B11" s="529" t="s">
        <v>803</v>
      </c>
      <c r="C11" s="529">
        <v>1</v>
      </c>
      <c r="D11" s="529">
        <v>1</v>
      </c>
      <c r="E11" s="529">
        <v>1</v>
      </c>
      <c r="F11" s="529">
        <v>-1</v>
      </c>
      <c r="G11" s="529" t="s">
        <v>816</v>
      </c>
      <c r="H11" s="529" t="s">
        <v>804</v>
      </c>
      <c r="I11" s="536" t="s">
        <v>805</v>
      </c>
    </row>
    <row r="12" spans="1:9" ht="89.25" customHeight="1" x14ac:dyDescent="0.3">
      <c r="A12" s="540">
        <v>6</v>
      </c>
      <c r="B12" s="530" t="s">
        <v>806</v>
      </c>
      <c r="C12" s="530">
        <v>1</v>
      </c>
      <c r="D12" s="530">
        <v>1</v>
      </c>
      <c r="E12" s="530">
        <v>0</v>
      </c>
      <c r="F12" s="530">
        <v>-1</v>
      </c>
      <c r="G12" s="530" t="s">
        <v>809</v>
      </c>
      <c r="H12" s="530" t="s">
        <v>807</v>
      </c>
      <c r="I12" s="537" t="s">
        <v>22</v>
      </c>
    </row>
    <row r="13" spans="1:9" ht="84" customHeight="1" x14ac:dyDescent="0.3">
      <c r="A13" s="540">
        <v>7</v>
      </c>
      <c r="B13" s="530" t="s">
        <v>808</v>
      </c>
      <c r="C13" s="530">
        <v>0</v>
      </c>
      <c r="D13" s="530">
        <v>0</v>
      </c>
      <c r="E13" s="530">
        <v>0</v>
      </c>
      <c r="F13" s="530">
        <v>1</v>
      </c>
      <c r="G13" s="530" t="s">
        <v>809</v>
      </c>
      <c r="H13" s="530" t="s">
        <v>810</v>
      </c>
      <c r="I13" s="537" t="s">
        <v>796</v>
      </c>
    </row>
    <row r="14" spans="1:9" ht="84" customHeight="1" x14ac:dyDescent="0.3">
      <c r="A14" s="540">
        <v>8</v>
      </c>
      <c r="B14" s="530" t="s">
        <v>811</v>
      </c>
      <c r="C14" s="530">
        <v>1</v>
      </c>
      <c r="D14" s="530">
        <v>0</v>
      </c>
      <c r="E14" s="530">
        <v>1</v>
      </c>
      <c r="F14" s="530">
        <v>-1</v>
      </c>
      <c r="G14" s="530" t="s">
        <v>812</v>
      </c>
      <c r="H14" s="530" t="s">
        <v>818</v>
      </c>
      <c r="I14" s="537" t="s">
        <v>813</v>
      </c>
    </row>
    <row r="15" spans="1:9" ht="99" customHeight="1" thickBot="1" x14ac:dyDescent="0.35">
      <c r="A15" s="541">
        <v>9</v>
      </c>
      <c r="B15" s="538" t="s">
        <v>814</v>
      </c>
      <c r="C15" s="538">
        <v>1</v>
      </c>
      <c r="D15" s="538">
        <v>1</v>
      </c>
      <c r="E15" s="538">
        <v>-1</v>
      </c>
      <c r="F15" s="538">
        <v>-1</v>
      </c>
      <c r="G15" s="538" t="s">
        <v>817</v>
      </c>
      <c r="H15" s="538" t="s">
        <v>819</v>
      </c>
      <c r="I15" s="539" t="s">
        <v>815</v>
      </c>
    </row>
    <row r="16" spans="1:9" ht="15.6" x14ac:dyDescent="0.3">
      <c r="A16" s="532"/>
      <c r="B16" s="531"/>
      <c r="C16" s="531"/>
      <c r="D16" s="531"/>
      <c r="E16" s="531"/>
      <c r="F16" s="531"/>
      <c r="G16" s="531"/>
      <c r="H16" s="531"/>
      <c r="I16" s="531"/>
    </row>
    <row r="17" spans="1:9" ht="15.6" x14ac:dyDescent="0.3">
      <c r="A17" s="532"/>
      <c r="B17" s="531"/>
      <c r="C17" s="531"/>
      <c r="D17" s="531"/>
      <c r="E17" s="531"/>
      <c r="F17" s="531"/>
      <c r="G17" s="531"/>
      <c r="H17" s="531"/>
      <c r="I17" s="531"/>
    </row>
    <row r="18" spans="1:9" ht="15.6" x14ac:dyDescent="0.3">
      <c r="A18" s="532"/>
      <c r="B18" s="531"/>
      <c r="C18" s="531"/>
      <c r="D18" s="531"/>
      <c r="E18" s="531"/>
      <c r="F18" s="531"/>
      <c r="G18" s="531"/>
      <c r="H18" s="531"/>
      <c r="I18" s="531"/>
    </row>
    <row r="19" spans="1:9" ht="15.6" x14ac:dyDescent="0.3">
      <c r="A19" s="532"/>
      <c r="B19" s="531"/>
      <c r="C19" s="531"/>
      <c r="D19" s="531"/>
      <c r="E19" s="531"/>
      <c r="F19" s="531"/>
      <c r="G19" s="531"/>
      <c r="H19" s="531"/>
      <c r="I19" s="531"/>
    </row>
    <row r="20" spans="1:9" ht="15.6" x14ac:dyDescent="0.3">
      <c r="A20" s="532"/>
      <c r="B20" s="531"/>
      <c r="C20" s="531"/>
      <c r="D20" s="531"/>
      <c r="E20" s="531"/>
      <c r="F20" s="531"/>
      <c r="G20" s="531"/>
      <c r="H20" s="531"/>
      <c r="I20" s="531"/>
    </row>
    <row r="21" spans="1:9" ht="31.5" customHeight="1" x14ac:dyDescent="0.3">
      <c r="A21" s="1329" t="s">
        <v>335</v>
      </c>
      <c r="B21" s="1329"/>
      <c r="C21" s="1329" t="s">
        <v>336</v>
      </c>
      <c r="D21" s="1329"/>
      <c r="E21" s="1329" t="s">
        <v>243</v>
      </c>
      <c r="F21" s="1329"/>
      <c r="G21" s="1329" t="s">
        <v>244</v>
      </c>
      <c r="H21" s="1329"/>
    </row>
    <row r="22" spans="1:9" ht="16.2" thickBot="1" x14ac:dyDescent="0.35">
      <c r="A22" s="190" t="s">
        <v>245</v>
      </c>
      <c r="B22" s="191">
        <v>2</v>
      </c>
      <c r="C22" s="191" t="s">
        <v>246</v>
      </c>
      <c r="D22" s="191">
        <v>1</v>
      </c>
      <c r="E22" s="192" t="s">
        <v>12</v>
      </c>
      <c r="F22" s="191">
        <v>1</v>
      </c>
      <c r="G22" s="191" t="s">
        <v>247</v>
      </c>
      <c r="H22" s="193">
        <v>1</v>
      </c>
    </row>
    <row r="23" spans="1:9" ht="16.2" thickBot="1" x14ac:dyDescent="0.35">
      <c r="A23" s="190" t="s">
        <v>248</v>
      </c>
      <c r="B23" s="191">
        <v>1</v>
      </c>
      <c r="C23" s="191" t="s">
        <v>249</v>
      </c>
      <c r="D23" s="191">
        <v>0</v>
      </c>
      <c r="E23" s="192" t="s">
        <v>0</v>
      </c>
      <c r="F23" s="191">
        <v>0</v>
      </c>
      <c r="G23" s="191" t="s">
        <v>250</v>
      </c>
      <c r="H23" s="193">
        <v>-1</v>
      </c>
    </row>
    <row r="24" spans="1:9" ht="16.2" thickBot="1" x14ac:dyDescent="0.35">
      <c r="A24" s="190" t="s">
        <v>251</v>
      </c>
      <c r="B24" s="191">
        <v>-1</v>
      </c>
      <c r="C24" s="191" t="s">
        <v>252</v>
      </c>
      <c r="D24" s="191">
        <v>-1</v>
      </c>
      <c r="E24" s="192" t="s">
        <v>1</v>
      </c>
      <c r="F24" s="191">
        <v>-1</v>
      </c>
      <c r="G24" s="191"/>
      <c r="H24" s="193"/>
    </row>
    <row r="25" spans="1:9" ht="15.6" x14ac:dyDescent="0.3">
      <c r="A25" s="194" t="s">
        <v>253</v>
      </c>
      <c r="B25" s="195">
        <v>0</v>
      </c>
      <c r="C25" s="1327"/>
      <c r="D25" s="1328"/>
      <c r="E25" s="217"/>
      <c r="F25" s="217"/>
      <c r="G25" s="217"/>
      <c r="H25" s="218"/>
    </row>
    <row r="26" spans="1:9" ht="16.2" thickBot="1" x14ac:dyDescent="0.35">
      <c r="A26" s="1319"/>
      <c r="B26" s="1320"/>
      <c r="C26" s="1321"/>
      <c r="D26" s="1321"/>
      <c r="E26" s="219"/>
      <c r="F26" s="219"/>
      <c r="G26" s="219"/>
      <c r="H26" s="220"/>
    </row>
    <row r="27" spans="1:9" ht="15.6" x14ac:dyDescent="0.3">
      <c r="A27" s="1322"/>
      <c r="B27" s="1322"/>
      <c r="C27" s="1323"/>
      <c r="D27" s="1323"/>
    </row>
    <row r="28" spans="1:9" ht="14.4" thickBot="1" x14ac:dyDescent="0.35"/>
    <row r="29" spans="1:9" ht="114" customHeight="1" thickBot="1" x14ac:dyDescent="0.35">
      <c r="A29" s="1324" t="s">
        <v>254</v>
      </c>
      <c r="B29" s="1325"/>
      <c r="C29" s="1326"/>
    </row>
  </sheetData>
  <mergeCells count="17">
    <mergeCell ref="A1:H1"/>
    <mergeCell ref="I4:I5"/>
    <mergeCell ref="A2:G2"/>
    <mergeCell ref="E21:F21"/>
    <mergeCell ref="G21:H21"/>
    <mergeCell ref="G4:G5"/>
    <mergeCell ref="H4:H5"/>
    <mergeCell ref="C25:D25"/>
    <mergeCell ref="A21:B21"/>
    <mergeCell ref="C21:D21"/>
    <mergeCell ref="A4:A5"/>
    <mergeCell ref="B4:B5"/>
    <mergeCell ref="A26:B26"/>
    <mergeCell ref="C26:D26"/>
    <mergeCell ref="A27:B27"/>
    <mergeCell ref="C27:D27"/>
    <mergeCell ref="A29:C29"/>
  </mergeCells>
  <printOptions horizontalCentered="1"/>
  <pageMargins left="0.43307086614173229" right="0.35433070866141736" top="0.98425196850393704" bottom="0.98425196850393704" header="0" footer="0"/>
  <pageSetup scale="64" orientation="landscape" r:id="rId1"/>
  <headerFooter alignWithMargins="0">
    <oddFooter>&amp;L&amp;P de &amp;N&amp;CInstrumentos de Planificación, SEGEPLAN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4"/>
  </sheetPr>
  <dimension ref="A1:V16"/>
  <sheetViews>
    <sheetView topLeftCell="B19" zoomScale="70" zoomScaleNormal="70" zoomScaleSheetLayoutView="90" workbookViewId="0">
      <selection activeCell="L12" sqref="L12"/>
    </sheetView>
  </sheetViews>
  <sheetFormatPr baseColWidth="10" defaultColWidth="11.44140625" defaultRowHeight="13.2" x14ac:dyDescent="0.25"/>
  <cols>
    <col min="1" max="1" width="17.88671875" style="13" customWidth="1"/>
    <col min="2" max="2" width="22.88671875" style="13" customWidth="1"/>
    <col min="3" max="3" width="24.33203125" style="13" customWidth="1"/>
    <col min="4" max="4" width="13.6640625" style="13" customWidth="1"/>
    <col min="5" max="5" width="18.6640625" style="13" customWidth="1"/>
    <col min="6" max="6" width="21.44140625" style="13" customWidth="1"/>
    <col min="7" max="9" width="3" style="13" bestFit="1" customWidth="1"/>
    <col min="10" max="10" width="14.6640625" style="13" customWidth="1"/>
    <col min="11" max="11" width="18.44140625" style="13" customWidth="1"/>
    <col min="12" max="12" width="12.33203125" style="13" customWidth="1"/>
    <col min="13" max="13" width="10.33203125" style="13" customWidth="1"/>
    <col min="14" max="14" width="15.6640625" style="13" bestFit="1" customWidth="1"/>
    <col min="15" max="15" width="9.6640625" style="13" customWidth="1"/>
    <col min="16" max="16" width="16.109375" style="13" bestFit="1" customWidth="1"/>
    <col min="17" max="17" width="10" style="13" customWidth="1"/>
    <col min="18" max="18" width="15.5546875" style="13" bestFit="1" customWidth="1"/>
    <col min="19" max="19" width="9.6640625" style="13" customWidth="1"/>
    <col min="20" max="20" width="15.5546875" style="13" bestFit="1" customWidth="1"/>
    <col min="21" max="21" width="10" style="13" customWidth="1"/>
    <col min="22" max="22" width="15.5546875" style="13" bestFit="1" customWidth="1"/>
    <col min="23" max="16384" width="11.44140625" style="13"/>
  </cols>
  <sheetData>
    <row r="1" spans="1:22" ht="34.5" customHeight="1" thickBot="1" x14ac:dyDescent="0.3">
      <c r="A1" s="1334" t="s">
        <v>163</v>
      </c>
      <c r="B1" s="1335"/>
      <c r="C1" s="1335"/>
      <c r="D1" s="1335"/>
      <c r="E1" s="1335"/>
      <c r="F1" s="1335"/>
      <c r="G1" s="1335"/>
      <c r="H1" s="1335"/>
      <c r="I1" s="1335"/>
      <c r="J1" s="1335"/>
      <c r="K1" s="1335"/>
      <c r="L1" s="1335"/>
      <c r="M1" s="1335"/>
      <c r="N1" s="1335"/>
      <c r="O1" s="1335"/>
      <c r="P1" s="1335"/>
      <c r="Q1" s="1335"/>
      <c r="R1" s="1335"/>
      <c r="S1" s="1335"/>
      <c r="T1" s="1335"/>
      <c r="U1" s="1335"/>
      <c r="V1" s="95" t="s">
        <v>383</v>
      </c>
    </row>
    <row r="2" spans="1:22" ht="13.8" thickBot="1" x14ac:dyDescent="0.3"/>
    <row r="3" spans="1:22" ht="15.75" customHeight="1" thickBot="1" x14ac:dyDescent="0.3">
      <c r="A3" s="1359" t="s">
        <v>149</v>
      </c>
      <c r="B3" s="1360"/>
      <c r="C3" s="1360"/>
      <c r="D3" s="1360"/>
      <c r="E3" s="1361"/>
      <c r="F3" s="1365" t="s">
        <v>66</v>
      </c>
      <c r="G3" s="1366"/>
      <c r="H3" s="1366"/>
      <c r="I3" s="1367"/>
      <c r="J3" s="1350" t="s">
        <v>159</v>
      </c>
      <c r="K3" s="1351"/>
      <c r="L3" s="1372" t="s">
        <v>14</v>
      </c>
      <c r="M3" s="1375" t="s">
        <v>69</v>
      </c>
      <c r="N3" s="1376"/>
      <c r="O3" s="1376"/>
      <c r="P3" s="1376"/>
      <c r="Q3" s="1376"/>
      <c r="R3" s="1376"/>
      <c r="S3" s="1376"/>
      <c r="T3" s="1376"/>
      <c r="U3" s="1376"/>
      <c r="V3" s="1377"/>
    </row>
    <row r="4" spans="1:22" ht="15.75" customHeight="1" x14ac:dyDescent="0.25">
      <c r="A4" s="1362"/>
      <c r="B4" s="1363"/>
      <c r="C4" s="1363"/>
      <c r="D4" s="1363"/>
      <c r="E4" s="1364"/>
      <c r="F4" s="1364" t="s">
        <v>155</v>
      </c>
      <c r="G4" s="1369" t="s">
        <v>158</v>
      </c>
      <c r="H4" s="1370"/>
      <c r="I4" s="1371"/>
      <c r="J4" s="1352"/>
      <c r="K4" s="1353"/>
      <c r="L4" s="1373"/>
      <c r="M4" s="1378">
        <v>2021</v>
      </c>
      <c r="N4" s="1379"/>
      <c r="O4" s="1378">
        <v>2022</v>
      </c>
      <c r="P4" s="1379"/>
      <c r="Q4" s="1378">
        <v>2023</v>
      </c>
      <c r="R4" s="1379"/>
      <c r="S4" s="1380">
        <v>2024</v>
      </c>
      <c r="T4" s="1381"/>
      <c r="U4" s="1380">
        <v>2025</v>
      </c>
      <c r="V4" s="1381"/>
    </row>
    <row r="5" spans="1:22" ht="67.5" customHeight="1" thickBot="1" x14ac:dyDescent="0.3">
      <c r="A5" s="245" t="s">
        <v>356</v>
      </c>
      <c r="B5" s="246" t="s">
        <v>361</v>
      </c>
      <c r="C5" s="246" t="s">
        <v>444</v>
      </c>
      <c r="D5" s="246" t="s">
        <v>359</v>
      </c>
      <c r="E5" s="546" t="s">
        <v>360</v>
      </c>
      <c r="F5" s="1368"/>
      <c r="G5" s="221" t="s">
        <v>147</v>
      </c>
      <c r="H5" s="221" t="s">
        <v>433</v>
      </c>
      <c r="I5" s="222" t="s">
        <v>154</v>
      </c>
      <c r="J5" s="1354"/>
      <c r="K5" s="1355"/>
      <c r="L5" s="1374"/>
      <c r="M5" s="223" t="s">
        <v>70</v>
      </c>
      <c r="N5" s="224" t="s">
        <v>160</v>
      </c>
      <c r="O5" s="223" t="s">
        <v>70</v>
      </c>
      <c r="P5" s="224" t="s">
        <v>160</v>
      </c>
      <c r="Q5" s="223" t="s">
        <v>70</v>
      </c>
      <c r="R5" s="224" t="s">
        <v>160</v>
      </c>
      <c r="S5" s="223" t="s">
        <v>70</v>
      </c>
      <c r="T5" s="224" t="s">
        <v>160</v>
      </c>
      <c r="U5" s="223" t="s">
        <v>70</v>
      </c>
      <c r="V5" s="224" t="s">
        <v>160</v>
      </c>
    </row>
    <row r="6" spans="1:22" ht="93" customHeight="1" x14ac:dyDescent="0.25">
      <c r="A6" s="543" t="s">
        <v>824</v>
      </c>
      <c r="B6" s="544" t="s">
        <v>825</v>
      </c>
      <c r="C6" s="544" t="s">
        <v>826</v>
      </c>
      <c r="D6" s="545" t="s">
        <v>827</v>
      </c>
      <c r="E6" s="570" t="s">
        <v>833</v>
      </c>
      <c r="F6" s="1344" t="s">
        <v>835</v>
      </c>
      <c r="G6" s="1341" t="s">
        <v>643</v>
      </c>
      <c r="H6" s="98"/>
      <c r="I6" s="99"/>
      <c r="J6" s="295" t="s">
        <v>161</v>
      </c>
      <c r="K6" s="296" t="str">
        <f>'SPPD-14 POA'!K6</f>
        <v>Dirección y Coordinación</v>
      </c>
      <c r="L6" s="300" t="s">
        <v>447</v>
      </c>
      <c r="M6" s="321">
        <f>SUM(M7)</f>
        <v>663</v>
      </c>
      <c r="N6" s="299">
        <f>SUM(N7:N7)</f>
        <v>9488921.9989999998</v>
      </c>
      <c r="O6" s="321">
        <f>SUM(O7)</f>
        <v>677</v>
      </c>
      <c r="P6" s="299">
        <f>SUM(P7:P7)</f>
        <v>9691036</v>
      </c>
      <c r="Q6" s="322">
        <f>SUM(Q7)</f>
        <v>691</v>
      </c>
      <c r="R6" s="299">
        <f>SUM(R7:R7)</f>
        <v>9897455</v>
      </c>
      <c r="S6" s="326">
        <f>SUM(S7)</f>
        <v>706</v>
      </c>
      <c r="T6" s="299">
        <f>SUM(T7:T7)</f>
        <v>10108271</v>
      </c>
      <c r="U6" s="323">
        <f>SUM(U7)</f>
        <v>721</v>
      </c>
      <c r="V6" s="299">
        <f>SUM(V7:V7)</f>
        <v>10323577</v>
      </c>
    </row>
    <row r="7" spans="1:22" ht="30" customHeight="1" x14ac:dyDescent="0.25">
      <c r="A7" s="1382" t="s">
        <v>829</v>
      </c>
      <c r="B7" s="1344" t="s">
        <v>830</v>
      </c>
      <c r="C7" s="1344" t="s">
        <v>831</v>
      </c>
      <c r="D7" s="1344" t="s">
        <v>827</v>
      </c>
      <c r="E7" s="1344" t="s">
        <v>834</v>
      </c>
      <c r="F7" s="1345"/>
      <c r="G7" s="1342"/>
      <c r="H7" s="89"/>
      <c r="I7" s="101"/>
      <c r="J7" s="289"/>
      <c r="K7" s="304" t="str">
        <f>'SPPD-14 POA'!K7</f>
        <v>Dirección y Coordinación</v>
      </c>
      <c r="L7" s="301" t="s">
        <v>447</v>
      </c>
      <c r="M7" s="290">
        <f>'SPPD-14 POA'!R7</f>
        <v>663</v>
      </c>
      <c r="N7" s="292">
        <f>'SPPD-14 POA'!S7</f>
        <v>9488921.9989999998</v>
      </c>
      <c r="O7" s="290">
        <f t="shared" ref="O7:V7" si="0">ROUND((M7*2.13%)+M7,0)</f>
        <v>677</v>
      </c>
      <c r="P7" s="293">
        <f t="shared" si="0"/>
        <v>9691036</v>
      </c>
      <c r="Q7" s="276">
        <f t="shared" si="0"/>
        <v>691</v>
      </c>
      <c r="R7" s="293">
        <f t="shared" si="0"/>
        <v>9897455</v>
      </c>
      <c r="S7" s="327">
        <f t="shared" si="0"/>
        <v>706</v>
      </c>
      <c r="T7" s="293">
        <f t="shared" si="0"/>
        <v>10108271</v>
      </c>
      <c r="U7" s="324">
        <f t="shared" si="0"/>
        <v>721</v>
      </c>
      <c r="V7" s="293">
        <f t="shared" si="0"/>
        <v>10323577</v>
      </c>
    </row>
    <row r="8" spans="1:22" ht="43.2" x14ac:dyDescent="0.25">
      <c r="A8" s="1383"/>
      <c r="B8" s="1345"/>
      <c r="C8" s="1345"/>
      <c r="D8" s="1345"/>
      <c r="E8" s="1345"/>
      <c r="F8" s="1345"/>
      <c r="G8" s="1342"/>
      <c r="H8" s="89"/>
      <c r="I8" s="101"/>
      <c r="J8" s="295" t="s">
        <v>162</v>
      </c>
      <c r="K8" s="296" t="str">
        <f>'SPPD-14 POA'!K8</f>
        <v>Mujeres Indígenas con Servicios de Atención Integral</v>
      </c>
      <c r="L8" s="302" t="s">
        <v>470</v>
      </c>
      <c r="M8" s="329">
        <f t="shared" ref="M8:V8" si="1">SUM(M9:M12)</f>
        <v>10346</v>
      </c>
      <c r="N8" s="298">
        <f t="shared" si="1"/>
        <v>6503010</v>
      </c>
      <c r="O8" s="328">
        <f t="shared" si="1"/>
        <v>10566</v>
      </c>
      <c r="P8" s="298">
        <f t="shared" si="1"/>
        <v>6641523</v>
      </c>
      <c r="Q8" s="331">
        <f t="shared" si="1"/>
        <v>10791</v>
      </c>
      <c r="R8" s="298">
        <f t="shared" si="1"/>
        <v>6782987</v>
      </c>
      <c r="S8" s="328">
        <f t="shared" si="1"/>
        <v>11021</v>
      </c>
      <c r="T8" s="298">
        <f t="shared" si="1"/>
        <v>6927465</v>
      </c>
      <c r="U8" s="325">
        <f t="shared" si="1"/>
        <v>11256</v>
      </c>
      <c r="V8" s="298">
        <f t="shared" si="1"/>
        <v>7075020</v>
      </c>
    </row>
    <row r="9" spans="1:22" ht="84.75" customHeight="1" x14ac:dyDescent="0.25">
      <c r="A9" s="1383"/>
      <c r="B9" s="1345"/>
      <c r="C9" s="1345"/>
      <c r="D9" s="1345"/>
      <c r="E9" s="1345"/>
      <c r="F9" s="1345"/>
      <c r="G9" s="1342"/>
      <c r="H9" s="89"/>
      <c r="I9" s="101"/>
      <c r="J9" s="1356"/>
      <c r="K9" s="304" t="str">
        <f>'SPPD-14 POA'!K9</f>
        <v>Mujeres Indígenas Violentadas en sus Derechos, Reciben Atención Jurídica</v>
      </c>
      <c r="L9" s="303" t="s">
        <v>470</v>
      </c>
      <c r="M9" s="330">
        <f>'SPPD-14 POA'!R9</f>
        <v>3798</v>
      </c>
      <c r="N9" s="292">
        <f>'SPPD-14 POA'!S9</f>
        <v>2772641</v>
      </c>
      <c r="O9" s="327">
        <f>ROUND((M9*2.13%)+M9,0)</f>
        <v>3879</v>
      </c>
      <c r="P9" s="293">
        <f>ROUND((N9*2.13%)+N9,0)</f>
        <v>2831698</v>
      </c>
      <c r="Q9" s="324">
        <f t="shared" ref="Q9:Q12" si="2">ROUND((O9*2.13%)+O9,0)</f>
        <v>3962</v>
      </c>
      <c r="R9" s="293">
        <f>ROUND((P9*2.13%)+P9,0)</f>
        <v>2892013</v>
      </c>
      <c r="S9" s="327">
        <f>ROUND((Q9*2.13%)+Q9,0)</f>
        <v>4046</v>
      </c>
      <c r="T9" s="293">
        <f t="shared" ref="T9:T12" si="3">ROUND((R9*2.13%)+R9,0)</f>
        <v>2953613</v>
      </c>
      <c r="U9" s="324">
        <f t="shared" ref="U9:U12" si="4">ROUND((S9*2.13%)+S9,0)</f>
        <v>4132</v>
      </c>
      <c r="V9" s="293">
        <f t="shared" ref="V9:V12" si="5">ROUND((T9*2.13%)+T9,0)</f>
        <v>3016525</v>
      </c>
    </row>
    <row r="10" spans="1:22" ht="21" hidden="1" customHeight="1" x14ac:dyDescent="0.25">
      <c r="A10" s="1384"/>
      <c r="B10" s="1346"/>
      <c r="C10" s="1346"/>
      <c r="D10" s="1346"/>
      <c r="E10" s="1346"/>
      <c r="F10" s="1346"/>
      <c r="G10" s="1343"/>
      <c r="H10" s="89"/>
      <c r="I10" s="101"/>
      <c r="J10" s="1357"/>
      <c r="K10" s="304" t="str">
        <f>'SPPD-14 POA'!K10</f>
        <v>Mujeres Indígenas Violentadas en sus Derechos, Reciben Atención Social</v>
      </c>
      <c r="L10" s="303" t="s">
        <v>470</v>
      </c>
      <c r="M10" s="330">
        <f>'SPPD-14 POA'!R10</f>
        <v>3356</v>
      </c>
      <c r="N10" s="292">
        <f>'SPPD-14 POA'!S10</f>
        <v>2048034</v>
      </c>
      <c r="O10" s="327">
        <f>ROUND((M10*2.13%)+M10,0)</f>
        <v>3427</v>
      </c>
      <c r="P10" s="293">
        <f t="shared" ref="P10:P12" si="6">ROUND((N10*2.13%)+N10,0)</f>
        <v>2091657</v>
      </c>
      <c r="Q10" s="324">
        <f t="shared" si="2"/>
        <v>3500</v>
      </c>
      <c r="R10" s="293">
        <f t="shared" ref="R10:R12" si="7">ROUND((P10*2.13%)+P10,0)</f>
        <v>2136209</v>
      </c>
      <c r="S10" s="327">
        <f t="shared" ref="S10:S12" si="8">ROUND((Q10*2.13%)+Q10,0)</f>
        <v>3575</v>
      </c>
      <c r="T10" s="293">
        <f t="shared" si="3"/>
        <v>2181710</v>
      </c>
      <c r="U10" s="324">
        <f t="shared" si="4"/>
        <v>3651</v>
      </c>
      <c r="V10" s="293">
        <f t="shared" si="5"/>
        <v>2228180</v>
      </c>
    </row>
    <row r="11" spans="1:22" ht="72" x14ac:dyDescent="0.25">
      <c r="A11" s="100"/>
      <c r="B11" s="242"/>
      <c r="C11" s="242"/>
      <c r="D11" s="242"/>
      <c r="E11" s="89"/>
      <c r="F11" s="89"/>
      <c r="G11" s="89"/>
      <c r="H11" s="89"/>
      <c r="I11" s="101"/>
      <c r="J11" s="1357"/>
      <c r="K11" s="304" t="str">
        <f>'SPPD-14 POA'!K11</f>
        <v>Mujeres Indígenas Violentadas en sus Derechos, Reciben Atención Psicológica</v>
      </c>
      <c r="L11" s="301" t="s">
        <v>470</v>
      </c>
      <c r="M11" s="330">
        <f>'SPPD-14 POA'!R11</f>
        <v>1704</v>
      </c>
      <c r="N11" s="292">
        <f>'SPPD-14 POA'!S11</f>
        <v>1098751</v>
      </c>
      <c r="O11" s="327">
        <f>ROUND((M11*2.13%)+M11,0)</f>
        <v>1740</v>
      </c>
      <c r="P11" s="293">
        <f t="shared" si="6"/>
        <v>1122154</v>
      </c>
      <c r="Q11" s="324">
        <f t="shared" si="2"/>
        <v>1777</v>
      </c>
      <c r="R11" s="293">
        <f t="shared" si="7"/>
        <v>1146056</v>
      </c>
      <c r="S11" s="327">
        <f t="shared" si="8"/>
        <v>1815</v>
      </c>
      <c r="T11" s="293">
        <f t="shared" si="3"/>
        <v>1170467</v>
      </c>
      <c r="U11" s="324">
        <f t="shared" si="4"/>
        <v>1854</v>
      </c>
      <c r="V11" s="293">
        <f t="shared" si="5"/>
        <v>1195398</v>
      </c>
    </row>
    <row r="12" spans="1:22" ht="130.19999999999999" thickBot="1" x14ac:dyDescent="0.3">
      <c r="A12" s="100"/>
      <c r="B12" s="242"/>
      <c r="C12" s="242"/>
      <c r="D12" s="242"/>
      <c r="E12" s="89"/>
      <c r="F12" s="89"/>
      <c r="G12" s="89"/>
      <c r="H12" s="89"/>
      <c r="I12" s="101"/>
      <c r="J12" s="1358"/>
      <c r="K12" s="304" t="str">
        <f>'SPPD-14 POA'!K12</f>
        <v>Personas Informadas y Capacitadas en Derechos Humanos para la Prevención de la Violencia Contra las Mujeres Indígenas</v>
      </c>
      <c r="L12" s="301" t="s">
        <v>470</v>
      </c>
      <c r="M12" s="330">
        <f>'SPPD-14 POA'!R12</f>
        <v>1488</v>
      </c>
      <c r="N12" s="292">
        <f>'SPPD-14 POA'!S12</f>
        <v>583584</v>
      </c>
      <c r="O12" s="327">
        <f>ROUND((M12*2.13%)+M12,0)</f>
        <v>1520</v>
      </c>
      <c r="P12" s="293">
        <f t="shared" si="6"/>
        <v>596014</v>
      </c>
      <c r="Q12" s="324">
        <f t="shared" si="2"/>
        <v>1552</v>
      </c>
      <c r="R12" s="293">
        <f t="shared" si="7"/>
        <v>608709</v>
      </c>
      <c r="S12" s="327">
        <f t="shared" si="8"/>
        <v>1585</v>
      </c>
      <c r="T12" s="293">
        <f t="shared" si="3"/>
        <v>621675</v>
      </c>
      <c r="U12" s="324">
        <f t="shared" si="4"/>
        <v>1619</v>
      </c>
      <c r="V12" s="293">
        <f t="shared" si="5"/>
        <v>634917</v>
      </c>
    </row>
    <row r="13" spans="1:22" ht="15" customHeight="1" thickBot="1" x14ac:dyDescent="0.3">
      <c r="A13" s="16"/>
      <c r="B13" s="16"/>
      <c r="C13" s="16"/>
      <c r="D13" s="16"/>
      <c r="E13" s="97"/>
      <c r="F13" s="16"/>
      <c r="G13" s="16"/>
      <c r="H13" s="16"/>
      <c r="I13" s="16"/>
      <c r="J13" s="1347" t="s">
        <v>94</v>
      </c>
      <c r="K13" s="1348"/>
      <c r="L13" s="1348"/>
      <c r="M13" s="1349"/>
      <c r="N13" s="103">
        <f>N6+N8</f>
        <v>15991931.999</v>
      </c>
      <c r="O13" s="104"/>
      <c r="P13" s="103">
        <f>P6+P8</f>
        <v>16332559</v>
      </c>
      <c r="Q13" s="105"/>
      <c r="R13" s="103">
        <f>R6+R8</f>
        <v>16680442</v>
      </c>
      <c r="S13" s="104"/>
      <c r="T13" s="103">
        <f>T6+T8</f>
        <v>17035736</v>
      </c>
      <c r="U13" s="105"/>
      <c r="V13" s="103">
        <f>V6+V8</f>
        <v>17398597</v>
      </c>
    </row>
    <row r="14" spans="1:22" x14ac:dyDescent="0.25">
      <c r="A14" s="16"/>
      <c r="B14" s="16"/>
      <c r="C14" s="16"/>
      <c r="D14" s="16"/>
      <c r="E14" s="16"/>
      <c r="F14" s="16"/>
      <c r="G14" s="16"/>
      <c r="H14" s="16"/>
      <c r="I14" s="16"/>
    </row>
    <row r="15" spans="1:22" x14ac:dyDescent="0.25">
      <c r="A15" s="16"/>
      <c r="B15" s="16"/>
      <c r="C15" s="16"/>
      <c r="D15" s="16"/>
      <c r="E15" s="16"/>
      <c r="F15" s="16"/>
      <c r="G15" s="16"/>
      <c r="H15" s="16"/>
      <c r="I15" s="16"/>
      <c r="P15" s="338"/>
      <c r="R15" s="338"/>
      <c r="T15" s="338"/>
      <c r="V15" s="338"/>
    </row>
    <row r="16" spans="1:22" x14ac:dyDescent="0.25">
      <c r="A16" s="16"/>
      <c r="B16" s="16"/>
      <c r="C16" s="16"/>
      <c r="D16" s="16"/>
      <c r="E16" s="16"/>
      <c r="F16" s="16"/>
      <c r="G16" s="16"/>
      <c r="H16" s="16"/>
      <c r="I16" s="16"/>
    </row>
  </sheetData>
  <mergeCells count="22">
    <mergeCell ref="J13:M13"/>
    <mergeCell ref="J3:K5"/>
    <mergeCell ref="J9:J12"/>
    <mergeCell ref="A1:U1"/>
    <mergeCell ref="A3:E4"/>
    <mergeCell ref="F3:I3"/>
    <mergeCell ref="F4:F5"/>
    <mergeCell ref="G4:I4"/>
    <mergeCell ref="L3:L5"/>
    <mergeCell ref="M3:V3"/>
    <mergeCell ref="M4:N4"/>
    <mergeCell ref="S4:T4"/>
    <mergeCell ref="U4:V4"/>
    <mergeCell ref="O4:P4"/>
    <mergeCell ref="Q4:R4"/>
    <mergeCell ref="A7:A10"/>
    <mergeCell ref="G6:G10"/>
    <mergeCell ref="B7:B10"/>
    <mergeCell ref="C7:C10"/>
    <mergeCell ref="D7:D10"/>
    <mergeCell ref="E7:E10"/>
    <mergeCell ref="F6:F10"/>
  </mergeCells>
  <pageMargins left="0.19685039370078741" right="0.19685039370078741" top="0.74803149606299213" bottom="0.74803149606299213" header="0.31496062992125984" footer="0.31496062992125984"/>
  <pageSetup scale="8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4"/>
  </sheetPr>
  <dimension ref="A1:AI24"/>
  <sheetViews>
    <sheetView topLeftCell="A13" zoomScale="90" zoomScaleNormal="90" zoomScaleSheetLayoutView="80" workbookViewId="0">
      <selection activeCell="I23" sqref="I23"/>
    </sheetView>
  </sheetViews>
  <sheetFormatPr baseColWidth="10" defaultColWidth="11.44140625" defaultRowHeight="13.2" x14ac:dyDescent="0.25"/>
  <cols>
    <col min="1" max="1" width="28.44140625" style="40" customWidth="1"/>
    <col min="2" max="2" width="15.44140625" style="40" customWidth="1"/>
    <col min="3" max="3" width="15.109375" style="40" customWidth="1"/>
    <col min="4" max="4" width="5.5546875" style="40" bestFit="1" customWidth="1"/>
    <col min="5" max="5" width="9.33203125" style="40" bestFit="1" customWidth="1"/>
    <col min="6" max="6" width="9.109375" style="40" bestFit="1" customWidth="1"/>
    <col min="7" max="7" width="11.44140625" style="40" bestFit="1" customWidth="1"/>
    <col min="8" max="8" width="9.109375" style="40" bestFit="1" customWidth="1"/>
    <col min="9" max="9" width="10.33203125" style="40" bestFit="1" customWidth="1"/>
    <col min="10" max="10" width="9.33203125" style="40" bestFit="1" customWidth="1"/>
    <col min="11" max="11" width="9.109375" style="40" bestFit="1" customWidth="1"/>
    <col min="12" max="12" width="9.88671875" style="40" bestFit="1" customWidth="1"/>
    <col min="13" max="13" width="9.33203125" style="40" bestFit="1" customWidth="1"/>
    <col min="14" max="14" width="9.109375" style="40" bestFit="1" customWidth="1"/>
    <col min="15" max="15" width="12.33203125" style="40" customWidth="1"/>
    <col min="16" max="16" width="9.33203125" style="40" bestFit="1" customWidth="1"/>
    <col min="17" max="17" width="9.109375" style="40" bestFit="1" customWidth="1"/>
    <col min="18" max="18" width="9.88671875" style="40" bestFit="1" customWidth="1"/>
    <col min="19" max="20" width="9.109375" style="40" bestFit="1" customWidth="1"/>
    <col min="21" max="21" width="10.44140625" style="40" bestFit="1" customWidth="1"/>
    <col min="22" max="22" width="16.44140625" style="40" customWidth="1"/>
    <col min="23" max="24" width="11.44140625" style="48"/>
    <col min="25" max="16384" width="11.44140625" style="40"/>
  </cols>
  <sheetData>
    <row r="1" spans="1:35" s="13" customFormat="1" ht="35.25" customHeight="1" thickBot="1" x14ac:dyDescent="0.3">
      <c r="A1" s="1406" t="s">
        <v>164</v>
      </c>
      <c r="B1" s="1111"/>
      <c r="C1" s="1111"/>
      <c r="D1" s="1111"/>
      <c r="E1" s="1111"/>
      <c r="F1" s="1111"/>
      <c r="G1" s="1111"/>
      <c r="H1" s="1111"/>
      <c r="I1" s="1111"/>
      <c r="J1" s="1111"/>
      <c r="K1" s="1111"/>
      <c r="L1" s="1111"/>
      <c r="M1" s="1111"/>
      <c r="N1" s="1111"/>
      <c r="O1" s="1111"/>
      <c r="P1" s="1111"/>
      <c r="Q1" s="1111"/>
      <c r="R1" s="1111"/>
      <c r="S1" s="1111"/>
      <c r="T1" s="1111"/>
      <c r="U1" s="111" t="s">
        <v>384</v>
      </c>
      <c r="V1" s="86"/>
    </row>
    <row r="2" spans="1:35" ht="31.2" x14ac:dyDescent="0.25">
      <c r="A2" s="225" t="s">
        <v>17</v>
      </c>
      <c r="B2" s="1407" t="s">
        <v>521</v>
      </c>
      <c r="C2" s="1407"/>
      <c r="D2" s="1407"/>
      <c r="E2" s="1407"/>
      <c r="F2" s="1407"/>
      <c r="G2" s="1407"/>
      <c r="H2" s="1407"/>
      <c r="I2" s="1407"/>
      <c r="J2" s="1407"/>
      <c r="K2" s="1407"/>
      <c r="L2" s="1407"/>
      <c r="M2" s="1407"/>
      <c r="N2" s="1407"/>
      <c r="O2" s="1407"/>
      <c r="P2" s="1407"/>
      <c r="Q2" s="1407"/>
      <c r="R2" s="1407"/>
      <c r="S2" s="1407"/>
      <c r="T2" s="1407"/>
      <c r="U2" s="1408"/>
      <c r="V2" s="24"/>
      <c r="W2" s="54"/>
      <c r="X2" s="54"/>
      <c r="Y2" s="24"/>
      <c r="Z2" s="24"/>
      <c r="AA2" s="24"/>
    </row>
    <row r="3" spans="1:35" ht="16.2" thickBot="1" x14ac:dyDescent="0.3">
      <c r="A3" s="1409" t="s">
        <v>71</v>
      </c>
      <c r="B3" s="1410"/>
      <c r="C3" s="1410"/>
      <c r="D3" s="1410"/>
      <c r="E3" s="1410"/>
      <c r="F3" s="1410"/>
      <c r="G3" s="1410"/>
      <c r="H3" s="1410"/>
      <c r="I3" s="1410"/>
      <c r="J3" s="1410"/>
      <c r="K3" s="1410"/>
      <c r="L3" s="1410"/>
      <c r="M3" s="1410"/>
      <c r="N3" s="1410"/>
      <c r="O3" s="1410"/>
      <c r="P3" s="1410"/>
      <c r="Q3" s="1410"/>
      <c r="R3" s="1410"/>
      <c r="S3" s="1410"/>
      <c r="T3" s="1410"/>
      <c r="U3" s="1411"/>
      <c r="V3" s="46"/>
    </row>
    <row r="4" spans="1:35" ht="12.75" customHeight="1" thickBot="1" x14ac:dyDescent="0.4">
      <c r="C4" s="106"/>
      <c r="D4" s="106"/>
      <c r="E4" s="106"/>
      <c r="F4" s="106"/>
      <c r="G4" s="106"/>
      <c r="H4" s="106"/>
      <c r="I4" s="106"/>
      <c r="J4" s="106"/>
      <c r="K4" s="106"/>
      <c r="L4" s="106"/>
      <c r="M4" s="106"/>
      <c r="N4" s="106"/>
      <c r="O4" s="106"/>
      <c r="P4" s="106"/>
      <c r="Q4" s="106"/>
      <c r="R4" s="106"/>
      <c r="S4" s="106"/>
      <c r="T4" s="106"/>
      <c r="U4" s="46"/>
      <c r="V4" s="46"/>
    </row>
    <row r="5" spans="1:35" ht="27.75" customHeight="1" thickBot="1" x14ac:dyDescent="0.3">
      <c r="A5" s="1397" t="s">
        <v>165</v>
      </c>
      <c r="B5" s="1398" t="s">
        <v>440</v>
      </c>
      <c r="C5" s="1398" t="s">
        <v>72</v>
      </c>
      <c r="D5" s="1399"/>
      <c r="E5" s="1399"/>
      <c r="F5" s="1399"/>
      <c r="G5" s="1399"/>
      <c r="H5" s="1399"/>
      <c r="I5" s="1399"/>
      <c r="J5" s="1399"/>
      <c r="K5" s="1399"/>
      <c r="L5" s="1399"/>
      <c r="M5" s="1399"/>
      <c r="N5" s="1399"/>
      <c r="O5" s="1399"/>
      <c r="P5" s="1399"/>
      <c r="Q5" s="1399"/>
      <c r="R5" s="1399"/>
      <c r="S5" s="1399"/>
      <c r="T5" s="1399"/>
      <c r="U5" s="1400"/>
      <c r="V5" s="46"/>
    </row>
    <row r="6" spans="1:35" ht="20.100000000000001" customHeight="1" thickBot="1" x14ac:dyDescent="0.3">
      <c r="A6" s="1397"/>
      <c r="B6" s="1398"/>
      <c r="C6" s="1401" t="s">
        <v>73</v>
      </c>
      <c r="D6" s="1387" t="s">
        <v>54</v>
      </c>
      <c r="E6" s="1388"/>
      <c r="F6" s="1389"/>
      <c r="G6" s="1387" t="s">
        <v>524</v>
      </c>
      <c r="H6" s="1388"/>
      <c r="I6" s="1389"/>
      <c r="J6" s="1387" t="s">
        <v>525</v>
      </c>
      <c r="K6" s="1388"/>
      <c r="L6" s="1389"/>
      <c r="M6" s="1387" t="s">
        <v>526</v>
      </c>
      <c r="N6" s="1388"/>
      <c r="O6" s="1389"/>
      <c r="P6" s="1387" t="s">
        <v>527</v>
      </c>
      <c r="Q6" s="1388"/>
      <c r="R6" s="1389"/>
      <c r="S6" s="1387" t="s">
        <v>528</v>
      </c>
      <c r="T6" s="1388"/>
      <c r="U6" s="1404"/>
      <c r="W6" s="40"/>
      <c r="X6" s="40"/>
    </row>
    <row r="7" spans="1:35" ht="24" customHeight="1" thickBot="1" x14ac:dyDescent="0.3">
      <c r="A7" s="1397"/>
      <c r="B7" s="1398"/>
      <c r="C7" s="1402"/>
      <c r="D7" s="1390" t="s">
        <v>18</v>
      </c>
      <c r="E7" s="1391" t="s">
        <v>168</v>
      </c>
      <c r="F7" s="1392"/>
      <c r="G7" s="1390" t="s">
        <v>168</v>
      </c>
      <c r="H7" s="1391"/>
      <c r="I7" s="1392"/>
      <c r="J7" s="1390" t="s">
        <v>168</v>
      </c>
      <c r="K7" s="1391"/>
      <c r="L7" s="1392"/>
      <c r="M7" s="1390" t="s">
        <v>168</v>
      </c>
      <c r="N7" s="1391"/>
      <c r="O7" s="1392"/>
      <c r="P7" s="1390" t="s">
        <v>168</v>
      </c>
      <c r="Q7" s="1391"/>
      <c r="R7" s="1392"/>
      <c r="S7" s="1390" t="s">
        <v>168</v>
      </c>
      <c r="T7" s="1391"/>
      <c r="U7" s="1393"/>
      <c r="W7" s="40"/>
      <c r="X7" s="40"/>
    </row>
    <row r="8" spans="1:35" ht="33.75" customHeight="1" thickBot="1" x14ac:dyDescent="0.3">
      <c r="A8" s="1397"/>
      <c r="B8" s="1398"/>
      <c r="C8" s="1403"/>
      <c r="D8" s="1405"/>
      <c r="E8" s="112" t="s">
        <v>166</v>
      </c>
      <c r="F8" s="108" t="s">
        <v>167</v>
      </c>
      <c r="G8" s="110" t="s">
        <v>166</v>
      </c>
      <c r="H8" s="109" t="s">
        <v>167</v>
      </c>
      <c r="I8" s="114" t="s">
        <v>169</v>
      </c>
      <c r="J8" s="110" t="s">
        <v>166</v>
      </c>
      <c r="K8" s="109" t="s">
        <v>167</v>
      </c>
      <c r="L8" s="114" t="s">
        <v>170</v>
      </c>
      <c r="M8" s="110" t="s">
        <v>166</v>
      </c>
      <c r="N8" s="109" t="s">
        <v>167</v>
      </c>
      <c r="O8" s="114" t="s">
        <v>170</v>
      </c>
      <c r="P8" s="110" t="s">
        <v>166</v>
      </c>
      <c r="Q8" s="109" t="s">
        <v>167</v>
      </c>
      <c r="R8" s="114" t="s">
        <v>170</v>
      </c>
      <c r="S8" s="113" t="s">
        <v>166</v>
      </c>
      <c r="T8" s="109" t="s">
        <v>167</v>
      </c>
      <c r="U8" s="115" t="s">
        <v>170</v>
      </c>
      <c r="W8" s="40"/>
      <c r="X8" s="40"/>
    </row>
    <row r="9" spans="1:35" ht="180" thickBot="1" x14ac:dyDescent="0.3">
      <c r="A9" s="344" t="s">
        <v>522</v>
      </c>
      <c r="B9" s="345" t="s">
        <v>523</v>
      </c>
      <c r="C9" s="345" t="s">
        <v>531</v>
      </c>
      <c r="D9" s="346">
        <v>2017</v>
      </c>
      <c r="E9" s="347">
        <v>10779</v>
      </c>
      <c r="F9" s="348">
        <v>0</v>
      </c>
      <c r="G9" s="349">
        <f>'SPPD-12 POM'!M8</f>
        <v>10346</v>
      </c>
      <c r="H9" s="350">
        <f>(G9/E9)-1</f>
        <v>-4.0170702291492666E-2</v>
      </c>
      <c r="I9" s="351"/>
      <c r="J9" s="352">
        <f>'SPPD-12 POM'!O8</f>
        <v>10566</v>
      </c>
      <c r="K9" s="350">
        <v>0</v>
      </c>
      <c r="L9" s="353"/>
      <c r="M9" s="352">
        <f>'SPPD-12 POM'!Q8</f>
        <v>10791</v>
      </c>
      <c r="N9" s="350">
        <v>0</v>
      </c>
      <c r="O9" s="353"/>
      <c r="P9" s="352">
        <f>'SPPD-12 POM'!S8</f>
        <v>11021</v>
      </c>
      <c r="Q9" s="350">
        <v>0</v>
      </c>
      <c r="R9" s="353"/>
      <c r="S9" s="352">
        <f>'SPPD-12 POM'!U8</f>
        <v>11256</v>
      </c>
      <c r="T9" s="350">
        <v>0</v>
      </c>
      <c r="U9" s="353"/>
      <c r="W9" s="40"/>
      <c r="X9" s="40"/>
    </row>
    <row r="10" spans="1:35" s="359" customFormat="1" ht="13.8" x14ac:dyDescent="0.25">
      <c r="A10" s="354" t="s">
        <v>529</v>
      </c>
      <c r="B10" s="354"/>
      <c r="C10" s="354"/>
      <c r="D10" s="354"/>
      <c r="E10" s="354"/>
      <c r="F10" s="354"/>
      <c r="G10" s="354"/>
      <c r="H10" s="354"/>
      <c r="I10" s="355"/>
      <c r="J10" s="356"/>
      <c r="K10" s="356"/>
      <c r="L10" s="355"/>
      <c r="M10" s="356"/>
      <c r="N10" s="356"/>
      <c r="O10" s="355"/>
      <c r="P10" s="356"/>
      <c r="Q10" s="356"/>
      <c r="R10" s="355"/>
      <c r="S10" s="356"/>
      <c r="T10" s="356"/>
      <c r="U10" s="355"/>
      <c r="V10" s="357"/>
      <c r="W10" s="358"/>
      <c r="X10" s="358"/>
      <c r="Z10" s="360">
        <v>10779</v>
      </c>
      <c r="AA10" s="359">
        <v>11582</v>
      </c>
      <c r="AB10" s="361">
        <f>AA10/Z10</f>
        <v>1.0744967065590501</v>
      </c>
      <c r="AC10" s="362">
        <f>AB10-1</f>
        <v>7.4496706559050052E-2</v>
      </c>
      <c r="AD10" s="361">
        <f>Z10*AD11</f>
        <v>200.75000000000014</v>
      </c>
      <c r="AE10" s="361">
        <f>Z10*AE11</f>
        <v>200.75000000000014</v>
      </c>
      <c r="AF10" s="361">
        <v>200.75000000000014</v>
      </c>
      <c r="AG10" s="361">
        <v>200.75000000000014</v>
      </c>
      <c r="AH10" s="361">
        <f>Z10+AD10+AE10+AF10+AG10</f>
        <v>11582</v>
      </c>
    </row>
    <row r="11" spans="1:35" s="359" customFormat="1" ht="13.8" x14ac:dyDescent="0.25">
      <c r="A11" s="354" t="s">
        <v>530</v>
      </c>
      <c r="B11" s="354"/>
      <c r="C11" s="354"/>
      <c r="D11" s="354"/>
      <c r="E11" s="354"/>
      <c r="F11" s="354"/>
      <c r="G11" s="354"/>
      <c r="H11" s="354"/>
      <c r="I11" s="355"/>
      <c r="J11" s="356"/>
      <c r="K11" s="356"/>
      <c r="L11" s="355"/>
      <c r="M11" s="356"/>
      <c r="N11" s="356"/>
      <c r="O11" s="355"/>
      <c r="P11" s="356"/>
      <c r="Q11" s="356"/>
      <c r="R11" s="355"/>
      <c r="S11" s="356"/>
      <c r="T11" s="356"/>
      <c r="U11" s="355"/>
      <c r="V11" s="357"/>
      <c r="W11" s="358"/>
      <c r="X11" s="358"/>
      <c r="AD11" s="359">
        <f>AC10/4</f>
        <v>1.8624176639762513E-2</v>
      </c>
      <c r="AE11" s="359">
        <v>1.8624176639762513E-2</v>
      </c>
      <c r="AF11" s="359">
        <v>1.8624176639762513E-2</v>
      </c>
      <c r="AG11" s="359">
        <v>1.8624176639762513E-2</v>
      </c>
    </row>
    <row r="12" spans="1:35" ht="22.5" customHeight="1" thickBot="1" x14ac:dyDescent="0.3">
      <c r="A12" s="55"/>
      <c r="B12" s="55"/>
      <c r="C12" s="55"/>
      <c r="D12" s="55"/>
      <c r="E12" s="55"/>
      <c r="F12" s="55"/>
      <c r="G12" s="55"/>
      <c r="H12" s="55"/>
      <c r="I12" s="126"/>
      <c r="J12" s="58"/>
      <c r="K12" s="58"/>
      <c r="L12" s="126"/>
      <c r="M12" s="58"/>
      <c r="N12" s="58"/>
      <c r="O12" s="126"/>
      <c r="P12" s="58"/>
      <c r="Q12" s="58"/>
      <c r="R12" s="126"/>
      <c r="S12" s="58"/>
      <c r="T12" s="58"/>
      <c r="U12" s="126"/>
      <c r="V12" s="46"/>
      <c r="AD12" s="363">
        <f>Z10+AD10</f>
        <v>10979.75</v>
      </c>
      <c r="AE12" s="363">
        <f>(AD12+AE10)</f>
        <v>11180.5</v>
      </c>
      <c r="AF12" s="363">
        <f>AF10+AE12</f>
        <v>11381.25</v>
      </c>
      <c r="AG12" s="363">
        <f>AF12+AG10</f>
        <v>11582</v>
      </c>
      <c r="AH12" s="360">
        <v>26139</v>
      </c>
    </row>
    <row r="13" spans="1:35" ht="16.2" thickBot="1" x14ac:dyDescent="0.3">
      <c r="A13" s="1394" t="s">
        <v>172</v>
      </c>
      <c r="B13" s="1395"/>
      <c r="C13" s="1395"/>
      <c r="D13" s="1395"/>
      <c r="E13" s="1395"/>
      <c r="F13" s="1395"/>
      <c r="G13" s="1395"/>
      <c r="H13" s="1395"/>
      <c r="I13" s="1395"/>
      <c r="J13" s="1395"/>
      <c r="K13" s="1395"/>
      <c r="L13" s="1395"/>
      <c r="M13" s="1395"/>
      <c r="N13" s="1395"/>
      <c r="O13" s="1395"/>
      <c r="P13" s="1395"/>
      <c r="Q13" s="1395"/>
      <c r="R13" s="1395"/>
      <c r="S13" s="1395"/>
      <c r="T13" s="1395"/>
      <c r="U13" s="1396"/>
      <c r="V13" s="46"/>
      <c r="AD13" s="365">
        <f>(AD12/Z10)-1</f>
        <v>1.8624176639762569E-2</v>
      </c>
      <c r="AE13" s="365">
        <f>(AE12/Z10)-1</f>
        <v>3.7248353279524915E-2</v>
      </c>
      <c r="AF13" s="364">
        <f>(AF12/Z10)-1</f>
        <v>5.5872529919287484E-2</v>
      </c>
      <c r="AG13" s="365">
        <f>(AG12/Z10)-1</f>
        <v>7.4496706559050052E-2</v>
      </c>
      <c r="AH13" s="365">
        <f>(AH12/Z10)-1</f>
        <v>1.4249930420261618</v>
      </c>
      <c r="AI13" s="363">
        <f>Z10*AH13</f>
        <v>15359.999999999998</v>
      </c>
    </row>
    <row r="14" spans="1:35" ht="12.75" customHeight="1" thickBot="1" x14ac:dyDescent="0.3">
      <c r="A14" s="125"/>
      <c r="B14" s="125"/>
      <c r="C14" s="125"/>
      <c r="D14" s="125"/>
      <c r="E14" s="125"/>
      <c r="F14" s="125"/>
      <c r="G14" s="125"/>
      <c r="H14" s="125"/>
      <c r="I14" s="125"/>
      <c r="J14" s="125"/>
      <c r="K14" s="125"/>
      <c r="L14" s="125"/>
      <c r="M14" s="125"/>
      <c r="N14" s="125"/>
      <c r="O14" s="125"/>
      <c r="P14" s="125"/>
      <c r="Q14" s="125"/>
      <c r="R14" s="125"/>
      <c r="S14" s="96"/>
      <c r="T14" s="57"/>
      <c r="U14" s="46"/>
      <c r="V14" s="46"/>
    </row>
    <row r="15" spans="1:35" ht="27.75" customHeight="1" thickBot="1" x14ac:dyDescent="0.3">
      <c r="A15" s="1397" t="s">
        <v>171</v>
      </c>
      <c r="B15" s="1398" t="s">
        <v>173</v>
      </c>
      <c r="C15" s="1398" t="s">
        <v>74</v>
      </c>
      <c r="D15" s="1399"/>
      <c r="E15" s="1399"/>
      <c r="F15" s="1399"/>
      <c r="G15" s="1399"/>
      <c r="H15" s="1399"/>
      <c r="I15" s="1399"/>
      <c r="J15" s="1399"/>
      <c r="K15" s="1399"/>
      <c r="L15" s="1399"/>
      <c r="M15" s="1399"/>
      <c r="N15" s="1399"/>
      <c r="O15" s="1399"/>
      <c r="P15" s="1399"/>
      <c r="Q15" s="1399"/>
      <c r="R15" s="1399"/>
      <c r="S15" s="1399"/>
      <c r="T15" s="1399"/>
      <c r="U15" s="1400"/>
      <c r="V15" s="46"/>
    </row>
    <row r="16" spans="1:35" ht="20.100000000000001" customHeight="1" thickBot="1" x14ac:dyDescent="0.3">
      <c r="A16" s="1397"/>
      <c r="B16" s="1398"/>
      <c r="C16" s="1401" t="s">
        <v>174</v>
      </c>
      <c r="D16" s="1387" t="s">
        <v>54</v>
      </c>
      <c r="E16" s="1388"/>
      <c r="F16" s="1389"/>
      <c r="G16" s="1387">
        <v>2021</v>
      </c>
      <c r="H16" s="1388"/>
      <c r="I16" s="1389"/>
      <c r="J16" s="1387">
        <v>2022</v>
      </c>
      <c r="K16" s="1388"/>
      <c r="L16" s="1389"/>
      <c r="M16" s="1387">
        <v>2023</v>
      </c>
      <c r="N16" s="1388"/>
      <c r="O16" s="1389"/>
      <c r="P16" s="1387">
        <v>2024</v>
      </c>
      <c r="Q16" s="1388"/>
      <c r="R16" s="1389"/>
      <c r="S16" s="1387">
        <v>2025</v>
      </c>
      <c r="T16" s="1388"/>
      <c r="U16" s="1404"/>
      <c r="W16" s="40"/>
      <c r="X16" s="40"/>
    </row>
    <row r="17" spans="1:24" ht="15" thickBot="1" x14ac:dyDescent="0.3">
      <c r="A17" s="1397"/>
      <c r="B17" s="1398"/>
      <c r="C17" s="1402"/>
      <c r="D17" s="1390" t="s">
        <v>18</v>
      </c>
      <c r="E17" s="1391" t="s">
        <v>168</v>
      </c>
      <c r="F17" s="1392"/>
      <c r="G17" s="1390" t="s">
        <v>168</v>
      </c>
      <c r="H17" s="1391"/>
      <c r="I17" s="1392"/>
      <c r="J17" s="1390" t="s">
        <v>168</v>
      </c>
      <c r="K17" s="1391"/>
      <c r="L17" s="1392"/>
      <c r="M17" s="1390" t="s">
        <v>168</v>
      </c>
      <c r="N17" s="1391"/>
      <c r="O17" s="1392"/>
      <c r="P17" s="1390" t="s">
        <v>168</v>
      </c>
      <c r="Q17" s="1391"/>
      <c r="R17" s="1392"/>
      <c r="S17" s="1390" t="s">
        <v>168</v>
      </c>
      <c r="T17" s="1391"/>
      <c r="U17" s="1393"/>
      <c r="W17" s="40"/>
      <c r="X17" s="40"/>
    </row>
    <row r="18" spans="1:24" ht="33.75" customHeight="1" thickBot="1" x14ac:dyDescent="0.3">
      <c r="A18" s="1397"/>
      <c r="B18" s="1398"/>
      <c r="C18" s="1403"/>
      <c r="D18" s="1405"/>
      <c r="E18" s="112" t="s">
        <v>166</v>
      </c>
      <c r="F18" s="108" t="s">
        <v>167</v>
      </c>
      <c r="G18" s="110" t="s">
        <v>166</v>
      </c>
      <c r="H18" s="109" t="s">
        <v>167</v>
      </c>
      <c r="I18" s="114" t="s">
        <v>169</v>
      </c>
      <c r="J18" s="110" t="s">
        <v>166</v>
      </c>
      <c r="K18" s="109" t="s">
        <v>167</v>
      </c>
      <c r="L18" s="114" t="s">
        <v>170</v>
      </c>
      <c r="M18" s="110" t="s">
        <v>166</v>
      </c>
      <c r="N18" s="109" t="s">
        <v>167</v>
      </c>
      <c r="O18" s="114" t="s">
        <v>170</v>
      </c>
      <c r="P18" s="110" t="s">
        <v>166</v>
      </c>
      <c r="Q18" s="109" t="s">
        <v>167</v>
      </c>
      <c r="R18" s="114" t="s">
        <v>170</v>
      </c>
      <c r="S18" s="113" t="s">
        <v>166</v>
      </c>
      <c r="T18" s="109" t="s">
        <v>167</v>
      </c>
      <c r="U18" s="115" t="s">
        <v>170</v>
      </c>
      <c r="W18" s="40"/>
      <c r="X18" s="40"/>
    </row>
    <row r="19" spans="1:24" ht="66" x14ac:dyDescent="0.25">
      <c r="A19" s="369" t="str">
        <f>'SPPD-12 POM'!K6</f>
        <v>Dirección y Coordinación</v>
      </c>
      <c r="B19" s="366" t="s">
        <v>532</v>
      </c>
      <c r="C19" s="383" t="s">
        <v>533</v>
      </c>
      <c r="D19" s="1385">
        <f>D9</f>
        <v>2017</v>
      </c>
      <c r="E19" s="339">
        <v>36</v>
      </c>
      <c r="F19" s="340">
        <v>0</v>
      </c>
      <c r="G19" s="370">
        <f>'SPPD-12 POM'!M6</f>
        <v>663</v>
      </c>
      <c r="H19" s="343">
        <f>(G19/E19)-1</f>
        <v>17.416666666666668</v>
      </c>
      <c r="I19" s="371"/>
      <c r="J19" s="122">
        <f>'SPPD-12 POM'!O6</f>
        <v>677</v>
      </c>
      <c r="K19" s="343">
        <v>0</v>
      </c>
      <c r="L19" s="123"/>
      <c r="M19" s="122">
        <f>'SPPD-12 POM'!Q6</f>
        <v>691</v>
      </c>
      <c r="N19" s="343">
        <v>0</v>
      </c>
      <c r="O19" s="123"/>
      <c r="P19" s="341">
        <f>'SPPD-12 POM'!S6</f>
        <v>706</v>
      </c>
      <c r="Q19" s="343">
        <v>0</v>
      </c>
      <c r="R19" s="123"/>
      <c r="S19" s="341">
        <f>'SPPD-12 POM'!U6</f>
        <v>721</v>
      </c>
      <c r="T19" s="343">
        <v>0</v>
      </c>
      <c r="U19" s="123"/>
      <c r="W19" s="40"/>
      <c r="X19" s="40"/>
    </row>
    <row r="20" spans="1:24" ht="113.25" customHeight="1" x14ac:dyDescent="0.25">
      <c r="A20" s="376" t="str">
        <f>'SPPD-12 POM'!K8</f>
        <v>Mujeres Indígenas con Servicios de Atención Integral</v>
      </c>
      <c r="B20" s="367" t="s">
        <v>470</v>
      </c>
      <c r="C20" s="368" t="s">
        <v>531</v>
      </c>
      <c r="D20" s="1386"/>
      <c r="E20" s="407">
        <f>E9</f>
        <v>10779</v>
      </c>
      <c r="F20" s="377">
        <f>F9</f>
        <v>0</v>
      </c>
      <c r="G20" s="378">
        <f>G9</f>
        <v>10346</v>
      </c>
      <c r="H20" s="379">
        <f>(G20/E20)-1</f>
        <v>-4.0170702291492666E-2</v>
      </c>
      <c r="I20" s="380"/>
      <c r="J20" s="381">
        <f>J9</f>
        <v>10566</v>
      </c>
      <c r="K20" s="379">
        <v>0</v>
      </c>
      <c r="L20" s="382"/>
      <c r="M20" s="381">
        <f>M9</f>
        <v>10791</v>
      </c>
      <c r="N20" s="379">
        <v>0</v>
      </c>
      <c r="O20" s="382"/>
      <c r="P20" s="381">
        <f>P9</f>
        <v>11021</v>
      </c>
      <c r="Q20" s="379">
        <v>0</v>
      </c>
      <c r="R20" s="382"/>
      <c r="S20" s="381">
        <f>S9</f>
        <v>11256</v>
      </c>
      <c r="T20" s="379">
        <v>0</v>
      </c>
      <c r="U20" s="382"/>
      <c r="W20" s="40"/>
      <c r="X20" s="40"/>
    </row>
    <row r="21" spans="1:24" ht="13.8" thickBot="1" x14ac:dyDescent="0.3">
      <c r="A21" s="372"/>
      <c r="B21" s="373"/>
      <c r="C21" s="373"/>
      <c r="D21" s="373"/>
      <c r="E21" s="373"/>
      <c r="F21" s="373"/>
      <c r="G21" s="373"/>
      <c r="H21" s="373"/>
      <c r="I21" s="373"/>
      <c r="J21" s="373"/>
      <c r="K21" s="373"/>
      <c r="L21" s="373"/>
      <c r="M21" s="373"/>
      <c r="N21" s="373"/>
      <c r="O21" s="373"/>
      <c r="P21" s="373"/>
      <c r="Q21" s="373"/>
      <c r="R21" s="373"/>
      <c r="S21" s="373"/>
      <c r="T21" s="373"/>
      <c r="U21" s="374"/>
    </row>
    <row r="23" spans="1:24" ht="13.8" x14ac:dyDescent="0.25">
      <c r="A23" s="354" t="s">
        <v>529</v>
      </c>
    </row>
    <row r="24" spans="1:24" ht="13.8" x14ac:dyDescent="0.25">
      <c r="A24" s="354" t="s">
        <v>530</v>
      </c>
    </row>
  </sheetData>
  <mergeCells count="39">
    <mergeCell ref="A1:T1"/>
    <mergeCell ref="A5:A8"/>
    <mergeCell ref="B5:B8"/>
    <mergeCell ref="C6:C8"/>
    <mergeCell ref="D6:F6"/>
    <mergeCell ref="G6:I6"/>
    <mergeCell ref="E7:F7"/>
    <mergeCell ref="D7:D8"/>
    <mergeCell ref="G7:I7"/>
    <mergeCell ref="C5:U5"/>
    <mergeCell ref="B2:U2"/>
    <mergeCell ref="A3:U3"/>
    <mergeCell ref="S6:U6"/>
    <mergeCell ref="S7:U7"/>
    <mergeCell ref="P6:R6"/>
    <mergeCell ref="P7:R7"/>
    <mergeCell ref="S17:U17"/>
    <mergeCell ref="A13:U13"/>
    <mergeCell ref="A15:A18"/>
    <mergeCell ref="B15:B18"/>
    <mergeCell ref="C15:U15"/>
    <mergeCell ref="C16:C18"/>
    <mergeCell ref="D16:F16"/>
    <mergeCell ref="G16:I16"/>
    <mergeCell ref="P16:R16"/>
    <mergeCell ref="S16:U16"/>
    <mergeCell ref="D17:D18"/>
    <mergeCell ref="E17:F17"/>
    <mergeCell ref="G17:I17"/>
    <mergeCell ref="P17:R17"/>
    <mergeCell ref="D19:D20"/>
    <mergeCell ref="M6:O6"/>
    <mergeCell ref="M7:O7"/>
    <mergeCell ref="M16:O16"/>
    <mergeCell ref="M17:O17"/>
    <mergeCell ref="J6:L6"/>
    <mergeCell ref="J7:L7"/>
    <mergeCell ref="J16:L16"/>
    <mergeCell ref="J17:L17"/>
  </mergeCells>
  <printOptions horizontalCentered="1"/>
  <pageMargins left="0.19685039370078741" right="0.19685039370078741" top="0.98425196850393704" bottom="0.98425196850393704" header="0" footer="0"/>
  <pageSetup scale="6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4"/>
  </sheetPr>
  <dimension ref="A1:S16"/>
  <sheetViews>
    <sheetView view="pageBreakPreview" topLeftCell="F3" zoomScale="90" zoomScaleNormal="75" zoomScaleSheetLayoutView="90" workbookViewId="0">
      <selection activeCell="N6" sqref="N6"/>
    </sheetView>
  </sheetViews>
  <sheetFormatPr baseColWidth="10" defaultColWidth="11.44140625" defaultRowHeight="13.2" x14ac:dyDescent="0.25"/>
  <cols>
    <col min="1" max="1" width="16.44140625" style="13" customWidth="1"/>
    <col min="2" max="2" width="16.88671875" style="13" customWidth="1"/>
    <col min="3" max="3" width="25.5546875" style="13" customWidth="1"/>
    <col min="4" max="4" width="13.6640625" style="13" customWidth="1"/>
    <col min="5" max="5" width="19" style="13" customWidth="1"/>
    <col min="6" max="6" width="17.109375" style="13" customWidth="1"/>
    <col min="7" max="9" width="3" style="13" bestFit="1" customWidth="1"/>
    <col min="10" max="10" width="20.88671875" style="13" customWidth="1"/>
    <col min="11" max="11" width="34.88671875" style="13" customWidth="1"/>
    <col min="12" max="12" width="9.33203125" style="13" customWidth="1"/>
    <col min="13" max="13" width="14.88671875" style="13" bestFit="1" customWidth="1"/>
    <col min="14" max="14" width="8.88671875" style="13" customWidth="1"/>
    <col min="15" max="15" width="16" style="13" bestFit="1" customWidth="1"/>
    <col min="16" max="16" width="8.6640625" style="13" customWidth="1"/>
    <col min="17" max="17" width="14.88671875" style="13" bestFit="1" customWidth="1"/>
    <col min="18" max="18" width="9.33203125" style="13" customWidth="1"/>
    <col min="19" max="19" width="16" style="13" bestFit="1" customWidth="1"/>
    <col min="20" max="16384" width="11.44140625" style="13"/>
  </cols>
  <sheetData>
    <row r="1" spans="1:19" ht="38.25" customHeight="1" thickBot="1" x14ac:dyDescent="0.3">
      <c r="A1" s="1334" t="s">
        <v>178</v>
      </c>
      <c r="B1" s="1335"/>
      <c r="C1" s="1335"/>
      <c r="D1" s="1335"/>
      <c r="E1" s="1335"/>
      <c r="F1" s="1335"/>
      <c r="G1" s="1335"/>
      <c r="H1" s="1335"/>
      <c r="I1" s="1335"/>
      <c r="J1" s="1335"/>
      <c r="K1" s="1335"/>
      <c r="L1" s="1335"/>
      <c r="M1" s="1335"/>
      <c r="N1" s="1335"/>
      <c r="O1" s="1335"/>
      <c r="P1" s="1335"/>
      <c r="Q1" s="1335"/>
      <c r="R1" s="1335"/>
      <c r="S1" s="95" t="s">
        <v>385</v>
      </c>
    </row>
    <row r="2" spans="1:19" ht="13.8" thickBot="1" x14ac:dyDescent="0.3"/>
    <row r="3" spans="1:19" ht="26.25" customHeight="1" thickBot="1" x14ac:dyDescent="0.3">
      <c r="A3" s="1359" t="s">
        <v>149</v>
      </c>
      <c r="B3" s="1360"/>
      <c r="C3" s="1360"/>
      <c r="D3" s="1360"/>
      <c r="E3" s="1361"/>
      <c r="F3" s="1365" t="s">
        <v>66</v>
      </c>
      <c r="G3" s="1366"/>
      <c r="H3" s="1366"/>
      <c r="I3" s="1367"/>
      <c r="J3" s="1350" t="s">
        <v>159</v>
      </c>
      <c r="K3" s="1351"/>
      <c r="L3" s="1417">
        <v>2021</v>
      </c>
      <c r="M3" s="1418"/>
      <c r="N3" s="1418"/>
      <c r="O3" s="1418"/>
      <c r="P3" s="1418"/>
      <c r="Q3" s="1418"/>
      <c r="R3" s="1419"/>
      <c r="S3" s="1420"/>
    </row>
    <row r="4" spans="1:19" ht="15.75" customHeight="1" thickBot="1" x14ac:dyDescent="0.3">
      <c r="A4" s="1362"/>
      <c r="B4" s="1363"/>
      <c r="C4" s="1363"/>
      <c r="D4" s="1363"/>
      <c r="E4" s="1364"/>
      <c r="F4" s="1364" t="s">
        <v>155</v>
      </c>
      <c r="G4" s="1369" t="s">
        <v>158</v>
      </c>
      <c r="H4" s="1370"/>
      <c r="I4" s="1371"/>
      <c r="J4" s="1352"/>
      <c r="K4" s="1353"/>
      <c r="L4" s="1426" t="s">
        <v>175</v>
      </c>
      <c r="M4" s="1427"/>
      <c r="N4" s="1427" t="s">
        <v>176</v>
      </c>
      <c r="O4" s="1427"/>
      <c r="P4" s="1424" t="s">
        <v>177</v>
      </c>
      <c r="Q4" s="1425"/>
      <c r="R4" s="1415" t="s">
        <v>179</v>
      </c>
      <c r="S4" s="1416"/>
    </row>
    <row r="5" spans="1:19" ht="63" customHeight="1" thickBot="1" x14ac:dyDescent="0.3">
      <c r="A5" s="245" t="s">
        <v>356</v>
      </c>
      <c r="B5" s="246" t="s">
        <v>361</v>
      </c>
      <c r="C5" s="246" t="s">
        <v>444</v>
      </c>
      <c r="D5" s="246" t="s">
        <v>359</v>
      </c>
      <c r="E5" s="247" t="s">
        <v>360</v>
      </c>
      <c r="F5" s="1368"/>
      <c r="G5" s="221" t="s">
        <v>147</v>
      </c>
      <c r="H5" s="221" t="s">
        <v>433</v>
      </c>
      <c r="I5" s="222" t="s">
        <v>154</v>
      </c>
      <c r="J5" s="1354"/>
      <c r="K5" s="1355"/>
      <c r="L5" s="129" t="s">
        <v>70</v>
      </c>
      <c r="M5" s="130" t="s">
        <v>160</v>
      </c>
      <c r="N5" s="130" t="s">
        <v>70</v>
      </c>
      <c r="O5" s="130" t="s">
        <v>160</v>
      </c>
      <c r="P5" s="130" t="s">
        <v>70</v>
      </c>
      <c r="Q5" s="131" t="s">
        <v>160</v>
      </c>
      <c r="R5" s="132" t="s">
        <v>70</v>
      </c>
      <c r="S5" s="133" t="s">
        <v>160</v>
      </c>
    </row>
    <row r="6" spans="1:19" ht="30.75" customHeight="1" x14ac:dyDescent="0.25">
      <c r="A6" s="1412" t="s">
        <v>824</v>
      </c>
      <c r="B6" s="1412" t="s">
        <v>837</v>
      </c>
      <c r="C6" s="1412" t="s">
        <v>838</v>
      </c>
      <c r="D6" s="1412" t="s">
        <v>827</v>
      </c>
      <c r="E6" s="1412" t="s">
        <v>833</v>
      </c>
      <c r="F6" s="1412" t="s">
        <v>835</v>
      </c>
      <c r="G6" s="1341" t="s">
        <v>643</v>
      </c>
      <c r="H6" s="98"/>
      <c r="I6" s="99"/>
      <c r="J6" s="295" t="s">
        <v>161</v>
      </c>
      <c r="K6" s="296" t="s">
        <v>508</v>
      </c>
      <c r="L6" s="320">
        <f>SUM(L7)</f>
        <v>220</v>
      </c>
      <c r="M6" s="297">
        <f>SUM(M7:M7)</f>
        <v>2870220</v>
      </c>
      <c r="N6" s="320">
        <f>SUM(N7)</f>
        <v>196</v>
      </c>
      <c r="O6" s="297">
        <f>SUM(O7:O7)</f>
        <v>3494523.9950000001</v>
      </c>
      <c r="P6" s="320">
        <f>SUM(P7)</f>
        <v>247</v>
      </c>
      <c r="Q6" s="297">
        <f>SUM(Q7:Q7)</f>
        <v>3124178.0040000002</v>
      </c>
      <c r="R6" s="320">
        <f>SUM(R7)</f>
        <v>663</v>
      </c>
      <c r="S6" s="297">
        <f>SUM(S7:S7)</f>
        <v>9488921.9989999998</v>
      </c>
    </row>
    <row r="7" spans="1:19" ht="30.75" customHeight="1" x14ac:dyDescent="0.25">
      <c r="A7" s="1413"/>
      <c r="B7" s="1413"/>
      <c r="C7" s="1413"/>
      <c r="D7" s="1413"/>
      <c r="E7" s="1413"/>
      <c r="F7" s="1413"/>
      <c r="G7" s="1342"/>
      <c r="H7" s="89"/>
      <c r="I7" s="101"/>
      <c r="J7" s="289"/>
      <c r="K7" s="294" t="s">
        <v>508</v>
      </c>
      <c r="L7" s="290">
        <f>'SPPD-15PROG. MENS PROD.SUBP ACC'!AG6</f>
        <v>220</v>
      </c>
      <c r="M7" s="292">
        <f>'SPPD-15PROG. MENS PROD.SUBP ACC'!AG7</f>
        <v>2870220</v>
      </c>
      <c r="N7" s="290">
        <f>'SPPD-15PROG. MENS PROD.SUBP ACC'!AH6</f>
        <v>196</v>
      </c>
      <c r="O7" s="292">
        <f>'SPPD-15PROG. MENS PROD.SUBP ACC'!AH7</f>
        <v>3494523.9950000001</v>
      </c>
      <c r="P7" s="276">
        <f>'SPPD-15PROG. MENS PROD.SUBP ACC'!AI6</f>
        <v>247</v>
      </c>
      <c r="Q7" s="292">
        <f>'SPPD-15PROG. MENS PROD.SUBP ACC'!AI7</f>
        <v>3124178.0040000002</v>
      </c>
      <c r="R7" s="276">
        <f>L7+N7+P7</f>
        <v>663</v>
      </c>
      <c r="S7" s="293">
        <f>M7+O7+Q7</f>
        <v>9488921.9989999998</v>
      </c>
    </row>
    <row r="8" spans="1:19" ht="63" customHeight="1" x14ac:dyDescent="0.25">
      <c r="A8" s="1413"/>
      <c r="B8" s="1413"/>
      <c r="C8" s="1413"/>
      <c r="D8" s="1413"/>
      <c r="E8" s="1413"/>
      <c r="F8" s="1413"/>
      <c r="G8" s="1342"/>
      <c r="H8" s="89"/>
      <c r="I8" s="101"/>
      <c r="J8" s="295" t="s">
        <v>162</v>
      </c>
      <c r="K8" s="296" t="s">
        <v>509</v>
      </c>
      <c r="L8" s="317">
        <f t="shared" ref="L8:S8" si="0">SUM(L9:L12)</f>
        <v>3209</v>
      </c>
      <c r="M8" s="298">
        <f t="shared" si="0"/>
        <v>1854417</v>
      </c>
      <c r="N8" s="318">
        <f t="shared" si="0"/>
        <v>4165</v>
      </c>
      <c r="O8" s="298">
        <f t="shared" si="0"/>
        <v>2509706</v>
      </c>
      <c r="P8" s="319">
        <f t="shared" si="0"/>
        <v>2972</v>
      </c>
      <c r="Q8" s="298">
        <f t="shared" si="0"/>
        <v>2138887</v>
      </c>
      <c r="R8" s="319">
        <f t="shared" si="0"/>
        <v>10346</v>
      </c>
      <c r="S8" s="298">
        <f t="shared" si="0"/>
        <v>6503010</v>
      </c>
    </row>
    <row r="9" spans="1:19" ht="94.5" customHeight="1" thickBot="1" x14ac:dyDescent="0.3">
      <c r="A9" s="1414"/>
      <c r="B9" s="1414"/>
      <c r="C9" s="1414"/>
      <c r="D9" s="1414"/>
      <c r="E9" s="1414"/>
      <c r="F9" s="1413"/>
      <c r="G9" s="1342"/>
      <c r="H9" s="89"/>
      <c r="I9" s="101"/>
      <c r="J9" s="1356"/>
      <c r="K9" s="294" t="s">
        <v>510</v>
      </c>
      <c r="L9" s="315">
        <f>'SPPD-15PROG. MENS PROD.SUBP ACC'!AG86</f>
        <v>1314</v>
      </c>
      <c r="M9" s="292">
        <f>'SPPD-15PROG. MENS PROD.SUBP ACC'!AG87</f>
        <v>767942</v>
      </c>
      <c r="N9" s="314">
        <f>'SPPD-15PROG. MENS PROD.SUBP ACC'!AH86</f>
        <v>1393</v>
      </c>
      <c r="O9" s="292">
        <f>'SPPD-15PROG. MENS PROD.SUBP ACC'!AH87</f>
        <v>1039066</v>
      </c>
      <c r="P9" s="316">
        <f>'SPPD-15PROG. MENS PROD.SUBP ACC'!AI86</f>
        <v>1091</v>
      </c>
      <c r="Q9" s="292">
        <f>'SPPD-15PROG. MENS PROD.SUBP ACC'!AI87</f>
        <v>965633</v>
      </c>
      <c r="R9" s="316">
        <f>L9+N9+P9</f>
        <v>3798</v>
      </c>
      <c r="S9" s="293">
        <f>M9+O9+Q9</f>
        <v>2772641</v>
      </c>
    </row>
    <row r="10" spans="1:19" ht="45" customHeight="1" x14ac:dyDescent="0.25">
      <c r="A10" s="1412" t="s">
        <v>836</v>
      </c>
      <c r="B10" s="1412" t="s">
        <v>830</v>
      </c>
      <c r="C10" s="1412" t="s">
        <v>831</v>
      </c>
      <c r="D10" s="1412" t="s">
        <v>827</v>
      </c>
      <c r="E10" s="1412" t="s">
        <v>834</v>
      </c>
      <c r="F10" s="1413"/>
      <c r="G10" s="1342"/>
      <c r="H10" s="89"/>
      <c r="I10" s="101"/>
      <c r="J10" s="1357"/>
      <c r="K10" s="294" t="s">
        <v>511</v>
      </c>
      <c r="L10" s="315">
        <f>'SPPD-15PROG. MENS PROD.SUBP ACC'!AG97</f>
        <v>1146</v>
      </c>
      <c r="M10" s="292">
        <f>'SPPD-15PROG. MENS PROD.SUBP ACC'!AG98</f>
        <v>644557</v>
      </c>
      <c r="N10" s="314">
        <f>'SPPD-15PROG. MENS PROD.SUBP ACC'!AH97</f>
        <v>1239</v>
      </c>
      <c r="O10" s="292">
        <f>'SPPD-15PROG. MENS PROD.SUBP ACC'!AH98</f>
        <v>756950</v>
      </c>
      <c r="P10" s="316">
        <f>'SPPD-15PROG. MENS PROD.SUBP ACC'!AI97</f>
        <v>971</v>
      </c>
      <c r="Q10" s="292">
        <f>'SPPD-15PROG. MENS PROD.SUBP ACC'!AI98</f>
        <v>646527</v>
      </c>
      <c r="R10" s="316">
        <f>L10+N10+P10</f>
        <v>3356</v>
      </c>
      <c r="S10" s="293">
        <f t="shared" ref="S10:S12" si="1">M10+O10+Q10</f>
        <v>2048034</v>
      </c>
    </row>
    <row r="11" spans="1:19" ht="43.2" x14ac:dyDescent="0.25">
      <c r="A11" s="1413"/>
      <c r="B11" s="1413"/>
      <c r="C11" s="1413"/>
      <c r="D11" s="1413"/>
      <c r="E11" s="1413"/>
      <c r="F11" s="1413"/>
      <c r="G11" s="1342"/>
      <c r="H11" s="89"/>
      <c r="I11" s="101"/>
      <c r="J11" s="1357"/>
      <c r="K11" s="294" t="s">
        <v>512</v>
      </c>
      <c r="L11" s="315">
        <f>'SPPD-15PROG. MENS PROD.SUBP ACC'!AG115</f>
        <v>549</v>
      </c>
      <c r="M11" s="292">
        <f>'SPPD-15PROG. MENS PROD.SUBP ACC'!AG116</f>
        <v>378331</v>
      </c>
      <c r="N11" s="314">
        <f>'SPPD-15PROG. MENS PROD.SUBP ACC'!AH115</f>
        <v>615</v>
      </c>
      <c r="O11" s="292">
        <f>'SPPD-15PROG. MENS PROD.SUBP ACC'!AH116</f>
        <v>485300</v>
      </c>
      <c r="P11" s="316">
        <f>'SPPD-15PROG. MENS PROD.SUBP ACC'!AI115</f>
        <v>540</v>
      </c>
      <c r="Q11" s="292">
        <f>'SPPD-15PROG. MENS PROD.SUBP ACC'!AI116</f>
        <v>235120</v>
      </c>
      <c r="R11" s="316">
        <f>L11+N11+P11</f>
        <v>1704</v>
      </c>
      <c r="S11" s="293">
        <f t="shared" ref="S11" si="2">M11+O11+Q11</f>
        <v>1098751</v>
      </c>
    </row>
    <row r="12" spans="1:19" ht="58.2" thickBot="1" x14ac:dyDescent="0.3">
      <c r="A12" s="1413"/>
      <c r="B12" s="1413"/>
      <c r="C12" s="1413"/>
      <c r="D12" s="1413"/>
      <c r="E12" s="1413"/>
      <c r="F12" s="1413"/>
      <c r="G12" s="1343"/>
      <c r="H12" s="89"/>
      <c r="I12" s="101"/>
      <c r="J12" s="1358"/>
      <c r="K12" s="294" t="s">
        <v>513</v>
      </c>
      <c r="L12" s="315">
        <f>'SPPD-15PROG. MENS PROD.SUBP ACC'!AG127</f>
        <v>200</v>
      </c>
      <c r="M12" s="292">
        <f>'SPPD-15PROG. MENS PROD.SUBP ACC'!AG128</f>
        <v>63587</v>
      </c>
      <c r="N12" s="314">
        <f>'SPPD-15PROG. MENS PROD.SUBP ACC'!AH127</f>
        <v>918</v>
      </c>
      <c r="O12" s="292">
        <f>'SPPD-15PROG. MENS PROD.SUBP ACC'!AH128</f>
        <v>228390</v>
      </c>
      <c r="P12" s="316">
        <f>'SPPD-15PROG. MENS PROD.SUBP ACC'!AI127</f>
        <v>370</v>
      </c>
      <c r="Q12" s="292">
        <f>'SPPD-15PROG. MENS PROD.SUBP ACC'!AI128</f>
        <v>291607</v>
      </c>
      <c r="R12" s="316">
        <f>L12+N12+P12</f>
        <v>1488</v>
      </c>
      <c r="S12" s="102">
        <f t="shared" si="1"/>
        <v>583584</v>
      </c>
    </row>
    <row r="13" spans="1:19" ht="15" customHeight="1" thickBot="1" x14ac:dyDescent="0.3">
      <c r="A13" s="16"/>
      <c r="B13" s="16"/>
      <c r="C13" s="571"/>
      <c r="D13" s="16"/>
      <c r="E13" s="97"/>
      <c r="F13" s="16"/>
      <c r="G13" s="16"/>
      <c r="H13" s="16"/>
      <c r="I13" s="16"/>
      <c r="J13" s="1421" t="s">
        <v>94</v>
      </c>
      <c r="K13" s="1422"/>
      <c r="L13" s="1423"/>
      <c r="M13" s="103">
        <f>M6+M8</f>
        <v>4724637</v>
      </c>
      <c r="N13" s="104"/>
      <c r="O13" s="103">
        <f>O6+O8</f>
        <v>6004229.9950000001</v>
      </c>
      <c r="P13" s="105"/>
      <c r="Q13" s="103">
        <f>Q6+Q8</f>
        <v>5263065.0040000007</v>
      </c>
      <c r="R13" s="105"/>
      <c r="S13" s="103">
        <f>S6+S8</f>
        <v>15991931.999</v>
      </c>
    </row>
    <row r="14" spans="1:19" x14ac:dyDescent="0.25">
      <c r="A14" s="16"/>
      <c r="B14" s="16"/>
      <c r="C14" s="16"/>
      <c r="D14" s="16"/>
      <c r="E14" s="16"/>
      <c r="F14" s="16"/>
      <c r="G14" s="16"/>
      <c r="H14" s="16"/>
      <c r="I14" s="16"/>
    </row>
    <row r="15" spans="1:19" x14ac:dyDescent="0.25">
      <c r="A15" s="16"/>
      <c r="B15" s="16"/>
      <c r="C15" s="16"/>
      <c r="D15" s="16"/>
      <c r="E15" s="16"/>
      <c r="F15" s="16"/>
      <c r="G15" s="16"/>
      <c r="H15" s="16"/>
      <c r="I15" s="16"/>
    </row>
    <row r="16" spans="1:19" x14ac:dyDescent="0.25">
      <c r="A16" s="16"/>
      <c r="B16" s="16"/>
      <c r="C16" s="16"/>
      <c r="D16" s="16"/>
      <c r="E16" s="16"/>
      <c r="F16" s="16"/>
      <c r="G16" s="16"/>
      <c r="H16" s="16"/>
      <c r="I16" s="16"/>
    </row>
  </sheetData>
  <mergeCells count="25">
    <mergeCell ref="J13:L13"/>
    <mergeCell ref="P4:Q4"/>
    <mergeCell ref="J9:J12"/>
    <mergeCell ref="J3:K5"/>
    <mergeCell ref="L4:M4"/>
    <mergeCell ref="N4:O4"/>
    <mergeCell ref="R4:S4"/>
    <mergeCell ref="L3:S3"/>
    <mergeCell ref="A1:R1"/>
    <mergeCell ref="A3:E4"/>
    <mergeCell ref="F3:I3"/>
    <mergeCell ref="F4:F5"/>
    <mergeCell ref="G4:I4"/>
    <mergeCell ref="F6:F12"/>
    <mergeCell ref="G6:G12"/>
    <mergeCell ref="A6:A9"/>
    <mergeCell ref="B6:B9"/>
    <mergeCell ref="C6:C9"/>
    <mergeCell ref="D6:D9"/>
    <mergeCell ref="E6:E9"/>
    <mergeCell ref="A10:A12"/>
    <mergeCell ref="B10:B12"/>
    <mergeCell ref="C10:C12"/>
    <mergeCell ref="D10:D12"/>
    <mergeCell ref="E10:E12"/>
  </mergeCells>
  <pageMargins left="0.19685039370078741" right="0.19685039370078741" top="0.74803149606299213" bottom="0.74803149606299213" header="0.31496062992125984" footer="0.31496062992125984"/>
  <pageSetup scale="4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sheetPr>
  <dimension ref="A1:AN163"/>
  <sheetViews>
    <sheetView tabSelected="1" topLeftCell="P1" zoomScale="85" zoomScaleNormal="85" zoomScalePageLayoutView="80" workbookViewId="0">
      <pane ySplit="3" topLeftCell="A115" activePane="bottomLeft" state="frozen"/>
      <selection pane="bottomLeft" activeCell="X156" sqref="X156"/>
    </sheetView>
  </sheetViews>
  <sheetFormatPr baseColWidth="10" defaultColWidth="11.44140625" defaultRowHeight="15.6" x14ac:dyDescent="0.3"/>
  <cols>
    <col min="1" max="1" width="3.6640625" style="10" customWidth="1"/>
    <col min="2" max="2" width="4.44140625" style="10" customWidth="1"/>
    <col min="3" max="3" width="4.5546875" style="10" customWidth="1"/>
    <col min="4" max="5" width="3.5546875" style="10" customWidth="1"/>
    <col min="6" max="6" width="3.6640625" style="10" customWidth="1"/>
    <col min="7" max="7" width="7.109375" style="59" customWidth="1"/>
    <col min="8" max="8" width="32.88671875" style="134" customWidth="1"/>
    <col min="9" max="9" width="12" style="59" customWidth="1"/>
    <col min="10" max="10" width="11.6640625" style="59" customWidth="1"/>
    <col min="11" max="12" width="16.109375" style="59" customWidth="1"/>
    <col min="13" max="13" width="16.88671875" style="59" bestFit="1" customWidth="1"/>
    <col min="14" max="15" width="17.88671875" style="59" bestFit="1" customWidth="1"/>
    <col min="16" max="16" width="17.33203125" style="59" bestFit="1" customWidth="1"/>
    <col min="17" max="17" width="17.88671875" style="59" bestFit="1" customWidth="1"/>
    <col min="18" max="18" width="17.33203125" style="59" bestFit="1" customWidth="1"/>
    <col min="19" max="19" width="19" style="59" bestFit="1" customWidth="1"/>
    <col min="20" max="22" width="17.88671875" style="59" bestFit="1" customWidth="1"/>
    <col min="23" max="23" width="38.5546875" style="59" bestFit="1" customWidth="1"/>
    <col min="24" max="24" width="68" style="59" customWidth="1"/>
    <col min="25" max="25" width="11.44140625" style="59"/>
    <col min="26" max="26" width="13.44140625" style="59" bestFit="1" customWidth="1"/>
    <col min="27" max="27" width="11.44140625" style="59"/>
    <col min="28" max="28" width="12.88671875" style="59" customWidth="1"/>
    <col min="29" max="29" width="14.109375" style="59" customWidth="1"/>
    <col min="30" max="30" width="14.88671875" style="59" customWidth="1"/>
    <col min="31" max="31" width="17" style="59" bestFit="1" customWidth="1"/>
    <col min="32" max="32" width="19.109375" style="59" bestFit="1" customWidth="1"/>
    <col min="33" max="33" width="22.33203125" style="59" bestFit="1" customWidth="1"/>
    <col min="34" max="34" width="22.88671875" style="59" bestFit="1" customWidth="1"/>
    <col min="35" max="35" width="21.88671875" style="59" bestFit="1" customWidth="1"/>
    <col min="36" max="36" width="18.5546875" style="59" customWidth="1"/>
    <col min="37" max="37" width="17" style="59" bestFit="1" customWidth="1"/>
    <col min="38" max="38" width="14.6640625" style="59" bestFit="1" customWidth="1"/>
    <col min="39" max="39" width="16.33203125" style="59" bestFit="1" customWidth="1"/>
    <col min="40" max="16384" width="11.44140625" style="59"/>
  </cols>
  <sheetData>
    <row r="1" spans="1:40" ht="22.5" customHeight="1" thickBot="1" x14ac:dyDescent="0.35">
      <c r="A1" s="1503" t="s">
        <v>182</v>
      </c>
      <c r="B1" s="1504"/>
      <c r="C1" s="1504"/>
      <c r="D1" s="1504"/>
      <c r="E1" s="1504"/>
      <c r="F1" s="1504"/>
      <c r="G1" s="1504"/>
      <c r="H1" s="1504"/>
      <c r="I1" s="1504"/>
      <c r="J1" s="1504"/>
      <c r="K1" s="1504"/>
      <c r="L1" s="1504"/>
      <c r="M1" s="1504"/>
      <c r="N1" s="1504"/>
      <c r="O1" s="1504"/>
      <c r="P1" s="1504"/>
      <c r="Q1" s="1504"/>
      <c r="R1" s="1504"/>
      <c r="S1" s="1504"/>
      <c r="T1" s="1504"/>
      <c r="U1" s="1504"/>
      <c r="V1" s="1505"/>
      <c r="W1" s="755" t="s">
        <v>369</v>
      </c>
      <c r="X1" s="1470" t="s">
        <v>362</v>
      </c>
      <c r="Y1" s="1471"/>
      <c r="Z1" s="1471"/>
      <c r="AA1" s="1471"/>
      <c r="AB1" s="1471"/>
      <c r="AC1" s="1471"/>
      <c r="AD1" s="1471"/>
      <c r="AE1" s="1471"/>
      <c r="AF1" s="1471"/>
      <c r="AG1" s="1471"/>
      <c r="AH1" s="1472"/>
      <c r="AI1" s="1473" t="s">
        <v>386</v>
      </c>
      <c r="AJ1" s="1473"/>
    </row>
    <row r="2" spans="1:40" ht="51" customHeight="1" x14ac:dyDescent="0.3">
      <c r="A2" s="1508" t="s">
        <v>2</v>
      </c>
      <c r="B2" s="1506" t="s">
        <v>10</v>
      </c>
      <c r="C2" s="1506" t="s">
        <v>3</v>
      </c>
      <c r="D2" s="1506" t="s">
        <v>4</v>
      </c>
      <c r="E2" s="1506" t="s">
        <v>5</v>
      </c>
      <c r="F2" s="1510" t="s">
        <v>43</v>
      </c>
      <c r="G2" s="1514" t="s">
        <v>181</v>
      </c>
      <c r="H2" s="1515"/>
      <c r="I2" s="1518" t="s">
        <v>14</v>
      </c>
      <c r="J2" s="1512"/>
      <c r="K2" s="1520" t="s">
        <v>368</v>
      </c>
      <c r="L2" s="1521"/>
      <c r="M2" s="1521"/>
      <c r="N2" s="1521"/>
      <c r="O2" s="1521"/>
      <c r="P2" s="1521"/>
      <c r="Q2" s="1521"/>
      <c r="R2" s="1521"/>
      <c r="S2" s="1521"/>
      <c r="T2" s="1521"/>
      <c r="U2" s="1521"/>
      <c r="V2" s="1521"/>
      <c r="W2" s="1522"/>
      <c r="X2" s="1474" t="s">
        <v>194</v>
      </c>
      <c r="Y2" s="1476" t="s">
        <v>183</v>
      </c>
      <c r="Z2" s="1476" t="s">
        <v>14</v>
      </c>
      <c r="AA2" s="1476" t="s">
        <v>317</v>
      </c>
      <c r="AB2" s="1476" t="s">
        <v>318</v>
      </c>
      <c r="AC2" s="1491" t="s">
        <v>865</v>
      </c>
      <c r="AD2" s="1476" t="s">
        <v>319</v>
      </c>
      <c r="AE2" s="1478" t="s">
        <v>184</v>
      </c>
      <c r="AF2" s="1478" t="s">
        <v>185</v>
      </c>
      <c r="AG2" s="1480" t="s">
        <v>186</v>
      </c>
      <c r="AH2" s="1480"/>
      <c r="AI2" s="1480"/>
      <c r="AJ2" s="1481" t="s">
        <v>320</v>
      </c>
    </row>
    <row r="3" spans="1:40" ht="100.5" customHeight="1" thickBot="1" x14ac:dyDescent="0.35">
      <c r="A3" s="1509"/>
      <c r="B3" s="1507"/>
      <c r="C3" s="1507"/>
      <c r="D3" s="1507"/>
      <c r="E3" s="1507"/>
      <c r="F3" s="1511"/>
      <c r="G3" s="1516"/>
      <c r="H3" s="1517"/>
      <c r="I3" s="1519"/>
      <c r="J3" s="1513"/>
      <c r="K3" s="845" t="s">
        <v>75</v>
      </c>
      <c r="L3" s="846" t="s">
        <v>76</v>
      </c>
      <c r="M3" s="846" t="s">
        <v>77</v>
      </c>
      <c r="N3" s="846" t="s">
        <v>78</v>
      </c>
      <c r="O3" s="846" t="s">
        <v>79</v>
      </c>
      <c r="P3" s="846" t="s">
        <v>80</v>
      </c>
      <c r="Q3" s="846" t="s">
        <v>81</v>
      </c>
      <c r="R3" s="846" t="s">
        <v>82</v>
      </c>
      <c r="S3" s="846" t="s">
        <v>83</v>
      </c>
      <c r="T3" s="846" t="s">
        <v>84</v>
      </c>
      <c r="U3" s="846" t="s">
        <v>85</v>
      </c>
      <c r="V3" s="846" t="s">
        <v>86</v>
      </c>
      <c r="W3" s="847" t="s">
        <v>193</v>
      </c>
      <c r="X3" s="1475"/>
      <c r="Y3" s="1477"/>
      <c r="Z3" s="1477"/>
      <c r="AA3" s="1477"/>
      <c r="AB3" s="1477"/>
      <c r="AC3" s="1492"/>
      <c r="AD3" s="1477"/>
      <c r="AE3" s="1479"/>
      <c r="AF3" s="1479"/>
      <c r="AG3" s="731" t="s">
        <v>175</v>
      </c>
      <c r="AH3" s="731" t="s">
        <v>176</v>
      </c>
      <c r="AI3" s="731" t="s">
        <v>177</v>
      </c>
      <c r="AJ3" s="1482"/>
    </row>
    <row r="4" spans="1:40" ht="36" customHeight="1" thickBot="1" x14ac:dyDescent="0.35">
      <c r="A4" s="748"/>
      <c r="B4" s="749"/>
      <c r="C4" s="749"/>
      <c r="D4" s="749"/>
      <c r="E4" s="749"/>
      <c r="F4" s="750"/>
      <c r="G4" s="1535" t="s">
        <v>445</v>
      </c>
      <c r="H4" s="1536"/>
      <c r="I4" s="1539" t="s">
        <v>447</v>
      </c>
      <c r="J4" s="844" t="s">
        <v>70</v>
      </c>
      <c r="K4" s="848">
        <v>4</v>
      </c>
      <c r="L4" s="848">
        <v>6</v>
      </c>
      <c r="M4" s="848">
        <v>3</v>
      </c>
      <c r="N4" s="848">
        <v>4</v>
      </c>
      <c r="O4" s="848">
        <v>4</v>
      </c>
      <c r="P4" s="848">
        <v>3</v>
      </c>
      <c r="Q4" s="848">
        <v>5</v>
      </c>
      <c r="R4" s="848">
        <v>4</v>
      </c>
      <c r="S4" s="848">
        <v>3</v>
      </c>
      <c r="T4" s="848">
        <v>3</v>
      </c>
      <c r="U4" s="848">
        <v>4</v>
      </c>
      <c r="V4" s="848">
        <v>5</v>
      </c>
      <c r="W4" s="849">
        <f>SUM(K4:V4)</f>
        <v>48</v>
      </c>
      <c r="X4" s="728"/>
      <c r="Y4" s="729"/>
      <c r="Z4" s="729"/>
      <c r="AA4" s="729"/>
      <c r="AB4" s="729"/>
      <c r="AC4" s="729"/>
      <c r="AD4" s="729"/>
      <c r="AE4" s="729"/>
      <c r="AF4" s="729"/>
      <c r="AG4" s="729"/>
      <c r="AH4" s="729"/>
      <c r="AI4" s="729"/>
      <c r="AJ4" s="729"/>
    </row>
    <row r="5" spans="1:40" s="281" customFormat="1" ht="30.75" customHeight="1" thickBot="1" x14ac:dyDescent="0.3">
      <c r="A5" s="751">
        <v>60</v>
      </c>
      <c r="B5" s="752">
        <v>0</v>
      </c>
      <c r="C5" s="753">
        <v>0</v>
      </c>
      <c r="D5" s="753">
        <v>1</v>
      </c>
      <c r="E5" s="753">
        <v>0</v>
      </c>
      <c r="F5" s="754">
        <v>0</v>
      </c>
      <c r="G5" s="1537"/>
      <c r="H5" s="1538"/>
      <c r="I5" s="1540"/>
      <c r="J5" s="700" t="s">
        <v>160</v>
      </c>
      <c r="K5" s="692">
        <f>K7</f>
        <v>727594.5</v>
      </c>
      <c r="L5" s="692">
        <f t="shared" ref="L5:V5" si="0">L7</f>
        <v>614888.5</v>
      </c>
      <c r="M5" s="692">
        <f t="shared" si="0"/>
        <v>315984.7</v>
      </c>
      <c r="N5" s="692">
        <f t="shared" si="0"/>
        <v>847801.7</v>
      </c>
      <c r="O5" s="692">
        <f t="shared" si="0"/>
        <v>844046.7</v>
      </c>
      <c r="P5" s="692">
        <f t="shared" si="0"/>
        <v>2291898.6978842872</v>
      </c>
      <c r="Q5" s="692">
        <f t="shared" si="0"/>
        <v>1186955.7</v>
      </c>
      <c r="R5" s="692">
        <f t="shared" si="0"/>
        <v>773368.7</v>
      </c>
      <c r="S5" s="692">
        <f t="shared" si="0"/>
        <v>883349.70399999991</v>
      </c>
      <c r="T5" s="692">
        <f t="shared" si="0"/>
        <v>816572.7</v>
      </c>
      <c r="U5" s="692">
        <f t="shared" si="0"/>
        <v>804408.7</v>
      </c>
      <c r="V5" s="733">
        <f t="shared" si="0"/>
        <v>992410.7</v>
      </c>
      <c r="W5" s="734">
        <f>SUM(K5:V5)</f>
        <v>11099281.001884285</v>
      </c>
      <c r="X5" s="730"/>
      <c r="Y5" s="730"/>
      <c r="Z5" s="730"/>
      <c r="AA5" s="730"/>
      <c r="AB5" s="730"/>
      <c r="AC5" s="730"/>
      <c r="AD5" s="730"/>
      <c r="AE5" s="730"/>
      <c r="AF5" s="730"/>
      <c r="AG5" s="730"/>
      <c r="AH5" s="730"/>
      <c r="AI5" s="730"/>
      <c r="AJ5" s="730"/>
    </row>
    <row r="6" spans="1:40" ht="36" customHeight="1" x14ac:dyDescent="0.3">
      <c r="A6" s="135"/>
      <c r="B6" s="136"/>
      <c r="C6" s="136"/>
      <c r="D6" s="136"/>
      <c r="E6" s="136"/>
      <c r="F6" s="137"/>
      <c r="G6" s="138"/>
      <c r="H6" s="1543" t="s">
        <v>446</v>
      </c>
      <c r="I6" s="1545" t="s">
        <v>447</v>
      </c>
      <c r="J6" s="736" t="s">
        <v>70</v>
      </c>
      <c r="K6" s="701">
        <f t="shared" ref="K6:V6" si="1">SUMIF($J8:$J79,$J$6,K8:K79)</f>
        <v>49</v>
      </c>
      <c r="L6" s="701">
        <f t="shared" si="1"/>
        <v>74</v>
      </c>
      <c r="M6" s="701">
        <f t="shared" si="1"/>
        <v>48</v>
      </c>
      <c r="N6" s="701">
        <f t="shared" si="1"/>
        <v>49</v>
      </c>
      <c r="O6" s="701">
        <f t="shared" si="1"/>
        <v>49</v>
      </c>
      <c r="P6" s="701">
        <f t="shared" si="1"/>
        <v>47</v>
      </c>
      <c r="Q6" s="701">
        <f t="shared" si="1"/>
        <v>54</v>
      </c>
      <c r="R6" s="701">
        <f t="shared" si="1"/>
        <v>50</v>
      </c>
      <c r="S6" s="701">
        <f t="shared" si="1"/>
        <v>49</v>
      </c>
      <c r="T6" s="701">
        <f t="shared" si="1"/>
        <v>49</v>
      </c>
      <c r="U6" s="701">
        <f t="shared" si="1"/>
        <v>49</v>
      </c>
      <c r="V6" s="701">
        <f t="shared" si="1"/>
        <v>100</v>
      </c>
      <c r="W6" s="732">
        <f t="shared" ref="W6:W93" si="2">SUM(K6:V6)</f>
        <v>667</v>
      </c>
      <c r="X6" s="744"/>
      <c r="Y6" s="744"/>
      <c r="Z6" s="744"/>
      <c r="AA6" s="744"/>
      <c r="AB6" s="744"/>
      <c r="AC6" s="744"/>
      <c r="AD6" s="744"/>
      <c r="AE6" s="744"/>
      <c r="AF6" s="744"/>
      <c r="AG6" s="745">
        <f>SUMIF($J8:$J60,$J$6,AG8:AG60)</f>
        <v>220</v>
      </c>
      <c r="AH6" s="746">
        <f>SUMIF($J8:$J60,$J$6,AH8:AH60)</f>
        <v>196</v>
      </c>
      <c r="AI6" s="746">
        <f>SUMIF($J8:$J60,$J$6,AI8:AI60)</f>
        <v>247</v>
      </c>
      <c r="AJ6" s="747"/>
    </row>
    <row r="7" spans="1:40" s="281" customFormat="1" ht="30.75" customHeight="1" thickBot="1" x14ac:dyDescent="0.35">
      <c r="A7" s="135"/>
      <c r="B7" s="136"/>
      <c r="C7" s="136"/>
      <c r="D7" s="136"/>
      <c r="E7" s="136"/>
      <c r="F7" s="137"/>
      <c r="G7" s="138"/>
      <c r="H7" s="1544"/>
      <c r="I7" s="1546"/>
      <c r="J7" s="739" t="s">
        <v>160</v>
      </c>
      <c r="K7" s="740">
        <f>SUMIF($J8:$J83,$J$7,K8:K83)</f>
        <v>727594.5</v>
      </c>
      <c r="L7" s="740">
        <f t="shared" ref="L7:V7" si="3">SUMIF($J8:$J83,$J$7,L8:L83)</f>
        <v>614888.5</v>
      </c>
      <c r="M7" s="740">
        <f t="shared" si="3"/>
        <v>315984.7</v>
      </c>
      <c r="N7" s="740">
        <f t="shared" si="3"/>
        <v>847801.7</v>
      </c>
      <c r="O7" s="740">
        <f t="shared" si="3"/>
        <v>844046.7</v>
      </c>
      <c r="P7" s="740">
        <f t="shared" si="3"/>
        <v>2291898.6978842872</v>
      </c>
      <c r="Q7" s="740">
        <f t="shared" si="3"/>
        <v>1186955.7</v>
      </c>
      <c r="R7" s="740">
        <f t="shared" si="3"/>
        <v>773368.7</v>
      </c>
      <c r="S7" s="740">
        <f t="shared" si="3"/>
        <v>883349.70399999991</v>
      </c>
      <c r="T7" s="740">
        <f t="shared" si="3"/>
        <v>816572.7</v>
      </c>
      <c r="U7" s="740">
        <f t="shared" si="3"/>
        <v>804408.7</v>
      </c>
      <c r="V7" s="740">
        <f t="shared" si="3"/>
        <v>992410.7</v>
      </c>
      <c r="W7" s="741">
        <f t="shared" si="2"/>
        <v>11099281.001884285</v>
      </c>
      <c r="X7" s="737"/>
      <c r="Y7" s="737"/>
      <c r="Z7" s="737"/>
      <c r="AA7" s="737"/>
      <c r="AB7" s="737"/>
      <c r="AC7" s="737"/>
      <c r="AD7" s="737"/>
      <c r="AE7" s="737"/>
      <c r="AF7" s="737"/>
      <c r="AG7" s="742">
        <f>SUMIF($J8:$J60,$J$7,AG8:AG60)</f>
        <v>2870220</v>
      </c>
      <c r="AH7" s="743">
        <f>SUMIF($J8:$J60,$J$7,AH8:AH60)</f>
        <v>3494523.9950000001</v>
      </c>
      <c r="AI7" s="743">
        <f>SUMIF($J8:$J60,$J$7,AI8:AI60)</f>
        <v>3124178.0040000002</v>
      </c>
      <c r="AJ7" s="738"/>
      <c r="AK7" s="291"/>
    </row>
    <row r="8" spans="1:40" ht="66.75" customHeight="1" x14ac:dyDescent="0.3">
      <c r="A8" s="135"/>
      <c r="B8" s="136"/>
      <c r="C8" s="136"/>
      <c r="D8" s="136"/>
      <c r="E8" s="136"/>
      <c r="F8" s="137"/>
      <c r="G8" s="138"/>
      <c r="H8" s="1553" t="s">
        <v>449</v>
      </c>
      <c r="I8" s="1431" t="s">
        <v>990</v>
      </c>
      <c r="J8" s="584" t="s">
        <v>70</v>
      </c>
      <c r="K8" s="589">
        <v>2</v>
      </c>
      <c r="L8" s="582">
        <v>2</v>
      </c>
      <c r="M8" s="582">
        <v>2</v>
      </c>
      <c r="N8" s="582">
        <v>2</v>
      </c>
      <c r="O8" s="582">
        <v>3</v>
      </c>
      <c r="P8" s="582">
        <v>1</v>
      </c>
      <c r="Q8" s="582">
        <v>4</v>
      </c>
      <c r="R8" s="582">
        <v>4</v>
      </c>
      <c r="S8" s="582">
        <v>3</v>
      </c>
      <c r="T8" s="582">
        <v>3</v>
      </c>
      <c r="U8" s="582">
        <v>2</v>
      </c>
      <c r="V8" s="583">
        <v>4</v>
      </c>
      <c r="W8" s="689">
        <f t="shared" si="2"/>
        <v>32</v>
      </c>
      <c r="X8" s="691"/>
      <c r="Y8" s="691"/>
      <c r="Z8" s="691"/>
      <c r="AA8" s="691"/>
      <c r="AB8" s="691"/>
      <c r="AC8" s="691"/>
      <c r="AD8" s="691"/>
      <c r="AE8" s="691"/>
      <c r="AF8" s="691"/>
      <c r="AG8" s="690">
        <f t="shared" ref="AG8:AG81" si="4">SUM($K8:$N8)</f>
        <v>8</v>
      </c>
      <c r="AH8" s="277">
        <f t="shared" ref="AH8:AH82" si="5">SUM($O8:$R8)</f>
        <v>12</v>
      </c>
      <c r="AI8" s="277">
        <f t="shared" ref="AI8:AI82" si="6">SUM($S8:$V8)</f>
        <v>12</v>
      </c>
      <c r="AJ8" s="1436" t="s">
        <v>457</v>
      </c>
    </row>
    <row r="9" spans="1:40" ht="66.75" customHeight="1" x14ac:dyDescent="0.3">
      <c r="A9" s="135"/>
      <c r="B9" s="136"/>
      <c r="C9" s="136"/>
      <c r="D9" s="136"/>
      <c r="E9" s="136"/>
      <c r="F9" s="137"/>
      <c r="G9" s="138"/>
      <c r="H9" s="1531"/>
      <c r="I9" s="1431"/>
      <c r="J9" s="584" t="s">
        <v>160</v>
      </c>
      <c r="K9" s="591">
        <v>567571</v>
      </c>
      <c r="L9" s="592">
        <v>396370</v>
      </c>
      <c r="M9" s="592">
        <v>396370</v>
      </c>
      <c r="N9" s="592">
        <v>396370</v>
      </c>
      <c r="O9" s="592">
        <v>396370</v>
      </c>
      <c r="P9" s="592">
        <v>409745</v>
      </c>
      <c r="Q9" s="592">
        <v>780170</v>
      </c>
      <c r="R9" s="592">
        <v>396370</v>
      </c>
      <c r="S9" s="592">
        <v>396370</v>
      </c>
      <c r="T9" s="592">
        <v>396370</v>
      </c>
      <c r="U9" s="592">
        <v>396370</v>
      </c>
      <c r="V9" s="587">
        <v>605594</v>
      </c>
      <c r="W9" s="588">
        <f t="shared" si="2"/>
        <v>5534040</v>
      </c>
      <c r="X9" s="282" t="s">
        <v>450</v>
      </c>
      <c r="Y9" s="283">
        <v>15</v>
      </c>
      <c r="Z9" s="284" t="s">
        <v>447</v>
      </c>
      <c r="AA9" s="609" t="s">
        <v>498</v>
      </c>
      <c r="AB9" s="284" t="s">
        <v>451</v>
      </c>
      <c r="AC9" s="579" t="s">
        <v>866</v>
      </c>
      <c r="AD9" s="283">
        <v>11</v>
      </c>
      <c r="AE9" s="286">
        <f>W9/Y9</f>
        <v>368936</v>
      </c>
      <c r="AF9" s="286">
        <f>Y9*AE9</f>
        <v>5534040</v>
      </c>
      <c r="AG9" s="610">
        <f t="shared" si="4"/>
        <v>1756681</v>
      </c>
      <c r="AH9" s="287">
        <f t="shared" si="5"/>
        <v>1982655</v>
      </c>
      <c r="AI9" s="287">
        <f t="shared" si="6"/>
        <v>1794704</v>
      </c>
      <c r="AJ9" s="1436"/>
    </row>
    <row r="10" spans="1:40" ht="51" customHeight="1" x14ac:dyDescent="0.3">
      <c r="A10" s="135"/>
      <c r="B10" s="136"/>
      <c r="C10" s="136"/>
      <c r="D10" s="136"/>
      <c r="E10" s="136"/>
      <c r="F10" s="137"/>
      <c r="G10" s="138"/>
      <c r="H10" s="1554" t="s">
        <v>452</v>
      </c>
      <c r="I10" s="1431" t="s">
        <v>447</v>
      </c>
      <c r="J10" s="584" t="s">
        <v>70</v>
      </c>
      <c r="K10" s="593">
        <v>2</v>
      </c>
      <c r="L10" s="594">
        <v>2</v>
      </c>
      <c r="M10" s="594">
        <v>1</v>
      </c>
      <c r="N10" s="594">
        <v>2</v>
      </c>
      <c r="O10" s="594">
        <v>1</v>
      </c>
      <c r="P10" s="594">
        <v>1</v>
      </c>
      <c r="Q10" s="594">
        <v>1</v>
      </c>
      <c r="R10" s="594">
        <v>1</v>
      </c>
      <c r="S10" s="594">
        <v>1</v>
      </c>
      <c r="T10" s="594">
        <v>1</v>
      </c>
      <c r="U10" s="594">
        <v>1</v>
      </c>
      <c r="V10" s="595">
        <v>1</v>
      </c>
      <c r="W10" s="590">
        <f t="shared" si="2"/>
        <v>15</v>
      </c>
      <c r="X10" s="313"/>
      <c r="Y10" s="305"/>
      <c r="Z10" s="305"/>
      <c r="AA10" s="305"/>
      <c r="AB10" s="305"/>
      <c r="AC10" s="305"/>
      <c r="AD10" s="305"/>
      <c r="AE10" s="286"/>
      <c r="AF10" s="286"/>
      <c r="AG10" s="610">
        <f t="shared" si="4"/>
        <v>7</v>
      </c>
      <c r="AH10" s="287">
        <f t="shared" si="5"/>
        <v>4</v>
      </c>
      <c r="AI10" s="287">
        <f t="shared" si="6"/>
        <v>4</v>
      </c>
      <c r="AJ10" s="1437" t="s">
        <v>457</v>
      </c>
    </row>
    <row r="11" spans="1:40" ht="51" customHeight="1" x14ac:dyDescent="0.3">
      <c r="A11" s="135"/>
      <c r="B11" s="136"/>
      <c r="C11" s="136"/>
      <c r="D11" s="136"/>
      <c r="E11" s="136"/>
      <c r="F11" s="137"/>
      <c r="G11" s="138"/>
      <c r="H11" s="1554"/>
      <c r="I11" s="1431"/>
      <c r="J11" s="584" t="s">
        <v>160</v>
      </c>
      <c r="K11" s="591">
        <f>'[2]029 (2)'!J121</f>
        <v>0</v>
      </c>
      <c r="L11" s="591">
        <f>'[2]029 (2)'!K121</f>
        <v>14895</v>
      </c>
      <c r="M11" s="591">
        <f>'[2]029 (2)'!L121</f>
        <v>90904</v>
      </c>
      <c r="N11" s="591">
        <f>'[2]029 (2)'!M121</f>
        <v>100500</v>
      </c>
      <c r="O11" s="591">
        <f>'[2]029 (2)'!N121</f>
        <v>109500</v>
      </c>
      <c r="P11" s="591">
        <f>'[2]029 (2)'!O121</f>
        <v>109500</v>
      </c>
      <c r="Q11" s="591">
        <f>'[2]029 (2)'!P121</f>
        <v>105000</v>
      </c>
      <c r="R11" s="591">
        <f>'[2]029 (2)'!Q121</f>
        <v>105000</v>
      </c>
      <c r="S11" s="591">
        <f>'[2]029 (2)'!R121</f>
        <v>105000</v>
      </c>
      <c r="T11" s="591">
        <f>'[2]029 (2)'!S121</f>
        <v>105000</v>
      </c>
      <c r="U11" s="591">
        <f>'[2]029 (2)'!T121</f>
        <v>105000</v>
      </c>
      <c r="V11" s="591">
        <f>'[2]029 (2)'!U121</f>
        <v>105000</v>
      </c>
      <c r="W11" s="852">
        <f>SUM(K11:V11)</f>
        <v>1055299</v>
      </c>
      <c r="X11" s="611" t="s">
        <v>450</v>
      </c>
      <c r="Y11" s="283">
        <v>12</v>
      </c>
      <c r="Z11" s="578" t="s">
        <v>447</v>
      </c>
      <c r="AA11" s="283">
        <v>29</v>
      </c>
      <c r="AB11" s="284" t="s">
        <v>451</v>
      </c>
      <c r="AC11" s="579" t="s">
        <v>866</v>
      </c>
      <c r="AD11" s="283">
        <v>11</v>
      </c>
      <c r="AE11" s="286"/>
      <c r="AF11" s="286">
        <f t="shared" ref="AF11:AF79" si="7">Y11*AE11</f>
        <v>0</v>
      </c>
      <c r="AG11" s="610">
        <f t="shared" si="4"/>
        <v>206299</v>
      </c>
      <c r="AH11" s="287">
        <f t="shared" si="5"/>
        <v>429000</v>
      </c>
      <c r="AI11" s="287">
        <f t="shared" si="6"/>
        <v>420000</v>
      </c>
      <c r="AJ11" s="1438"/>
    </row>
    <row r="12" spans="1:40" ht="102" customHeight="1" x14ac:dyDescent="0.3">
      <c r="A12" s="135"/>
      <c r="B12" s="136"/>
      <c r="C12" s="136"/>
      <c r="D12" s="136"/>
      <c r="E12" s="136"/>
      <c r="F12" s="137"/>
      <c r="G12" s="138"/>
      <c r="H12" s="1429" t="s">
        <v>453</v>
      </c>
      <c r="I12" s="1431" t="s">
        <v>991</v>
      </c>
      <c r="J12" s="584" t="s">
        <v>70</v>
      </c>
      <c r="K12" s="597"/>
      <c r="L12" s="594"/>
      <c r="M12" s="594"/>
      <c r="N12" s="594"/>
      <c r="O12" s="594"/>
      <c r="P12" s="594"/>
      <c r="Q12" s="594"/>
      <c r="R12" s="594"/>
      <c r="S12" s="594"/>
      <c r="T12" s="594"/>
      <c r="U12" s="594"/>
      <c r="V12" s="595"/>
      <c r="W12" s="590">
        <f t="shared" si="2"/>
        <v>0</v>
      </c>
      <c r="X12" s="313"/>
      <c r="Y12" s="283"/>
      <c r="Z12" s="305"/>
      <c r="AA12" s="305"/>
      <c r="AB12" s="305"/>
      <c r="AC12" s="305"/>
      <c r="AD12" s="305"/>
      <c r="AE12" s="286"/>
      <c r="AF12" s="286"/>
      <c r="AG12" s="610">
        <f t="shared" si="4"/>
        <v>0</v>
      </c>
      <c r="AH12" s="287">
        <f t="shared" si="5"/>
        <v>0</v>
      </c>
      <c r="AI12" s="287">
        <f t="shared" si="6"/>
        <v>0</v>
      </c>
      <c r="AJ12" s="1439" t="s">
        <v>456</v>
      </c>
    </row>
    <row r="13" spans="1:40" ht="102" customHeight="1" thickBot="1" x14ac:dyDescent="0.35">
      <c r="A13" s="135"/>
      <c r="B13" s="136"/>
      <c r="C13" s="136"/>
      <c r="D13" s="136"/>
      <c r="E13" s="136"/>
      <c r="F13" s="137"/>
      <c r="G13" s="138"/>
      <c r="H13" s="1430"/>
      <c r="I13" s="1431"/>
      <c r="J13" s="584" t="s">
        <v>160</v>
      </c>
      <c r="K13" s="591">
        <v>148283.5</v>
      </c>
      <c r="L13" s="592">
        <v>175983.5</v>
      </c>
      <c r="M13" s="592">
        <v>167783.5</v>
      </c>
      <c r="N13" s="592">
        <v>166803.5</v>
      </c>
      <c r="O13" s="592">
        <v>166483.5</v>
      </c>
      <c r="P13" s="592">
        <v>237183.5</v>
      </c>
      <c r="Q13" s="592">
        <v>158283.5</v>
      </c>
      <c r="R13" s="592">
        <v>153783.5</v>
      </c>
      <c r="S13" s="592">
        <v>180683.5</v>
      </c>
      <c r="T13" s="592">
        <v>150783.5</v>
      </c>
      <c r="U13" s="592">
        <v>186783.5</v>
      </c>
      <c r="V13" s="596">
        <v>150383.5</v>
      </c>
      <c r="W13" s="588">
        <f t="shared" si="2"/>
        <v>2043222</v>
      </c>
      <c r="X13" s="611" t="s">
        <v>454</v>
      </c>
      <c r="Y13" s="283">
        <v>12</v>
      </c>
      <c r="Z13" s="284" t="s">
        <v>448</v>
      </c>
      <c r="AA13" s="283">
        <v>100</v>
      </c>
      <c r="AB13" s="578" t="s">
        <v>451</v>
      </c>
      <c r="AC13" s="842" t="s">
        <v>866</v>
      </c>
      <c r="AD13" s="283">
        <v>11</v>
      </c>
      <c r="AE13" s="286">
        <f t="shared" ref="AE13:AE81" si="8">W13/Y13</f>
        <v>170268.5</v>
      </c>
      <c r="AF13" s="286">
        <f t="shared" si="7"/>
        <v>2043222</v>
      </c>
      <c r="AG13" s="610">
        <f t="shared" si="4"/>
        <v>658854</v>
      </c>
      <c r="AH13" s="287">
        <f t="shared" si="5"/>
        <v>715734</v>
      </c>
      <c r="AI13" s="287">
        <f t="shared" si="6"/>
        <v>668634</v>
      </c>
      <c r="AJ13" s="1440"/>
    </row>
    <row r="14" spans="1:40" ht="53.25" customHeight="1" x14ac:dyDescent="0.3">
      <c r="A14" s="135"/>
      <c r="B14" s="136"/>
      <c r="C14" s="136"/>
      <c r="D14" s="136"/>
      <c r="E14" s="136"/>
      <c r="F14" s="137"/>
      <c r="G14" s="138"/>
      <c r="H14" s="1432" t="s">
        <v>455</v>
      </c>
      <c r="I14" s="1434" t="s">
        <v>447</v>
      </c>
      <c r="J14" s="584" t="s">
        <v>70</v>
      </c>
      <c r="K14" s="593"/>
      <c r="L14" s="594"/>
      <c r="M14" s="594"/>
      <c r="N14" s="594"/>
      <c r="O14" s="594"/>
      <c r="P14" s="594"/>
      <c r="Q14" s="594"/>
      <c r="R14" s="594"/>
      <c r="S14" s="594"/>
      <c r="T14" s="594"/>
      <c r="U14" s="594">
        <v>1</v>
      </c>
      <c r="V14" s="595"/>
      <c r="W14" s="590">
        <f t="shared" ref="W14:W40" si="9">SUM(K14:V14)</f>
        <v>1</v>
      </c>
      <c r="X14" s="313"/>
      <c r="Y14" s="283"/>
      <c r="Z14" s="305"/>
      <c r="AA14" s="305"/>
      <c r="AB14" s="305"/>
      <c r="AC14" s="305"/>
      <c r="AD14" s="305"/>
      <c r="AE14" s="286"/>
      <c r="AF14" s="286"/>
      <c r="AG14" s="610">
        <f t="shared" si="4"/>
        <v>0</v>
      </c>
      <c r="AH14" s="287">
        <f t="shared" si="5"/>
        <v>0</v>
      </c>
      <c r="AI14" s="287">
        <f t="shared" si="6"/>
        <v>1</v>
      </c>
      <c r="AJ14" s="1439" t="s">
        <v>456</v>
      </c>
    </row>
    <row r="15" spans="1:40" ht="53.25" customHeight="1" thickBot="1" x14ac:dyDescent="0.35">
      <c r="A15" s="135"/>
      <c r="B15" s="136"/>
      <c r="C15" s="136"/>
      <c r="D15" s="136"/>
      <c r="E15" s="136"/>
      <c r="F15" s="137"/>
      <c r="G15" s="138"/>
      <c r="H15" s="1433"/>
      <c r="I15" s="1435"/>
      <c r="J15" s="598" t="s">
        <v>160</v>
      </c>
      <c r="K15" s="599">
        <v>240</v>
      </c>
      <c r="L15" s="599">
        <v>2940</v>
      </c>
      <c r="M15" s="599">
        <v>56115</v>
      </c>
      <c r="N15" s="599">
        <v>7610</v>
      </c>
      <c r="O15" s="599">
        <v>82540</v>
      </c>
      <c r="P15" s="599">
        <v>160704.995</v>
      </c>
      <c r="Q15" s="599">
        <v>10640</v>
      </c>
      <c r="R15" s="599">
        <v>6160</v>
      </c>
      <c r="S15" s="599">
        <v>62466.004000000001</v>
      </c>
      <c r="T15" s="599">
        <v>52589</v>
      </c>
      <c r="U15" s="599">
        <v>3625</v>
      </c>
      <c r="V15" s="599">
        <v>3500</v>
      </c>
      <c r="W15" s="600">
        <f t="shared" si="9"/>
        <v>449129.99900000001</v>
      </c>
      <c r="X15" s="763" t="s">
        <v>962</v>
      </c>
      <c r="Y15" s="283">
        <v>12</v>
      </c>
      <c r="Z15" s="284" t="s">
        <v>448</v>
      </c>
      <c r="AA15" s="283">
        <v>200</v>
      </c>
      <c r="AB15" s="612"/>
      <c r="AC15" s="843" t="s">
        <v>866</v>
      </c>
      <c r="AD15" s="283">
        <v>11</v>
      </c>
      <c r="AE15" s="286">
        <f t="shared" si="8"/>
        <v>37427.499916666668</v>
      </c>
      <c r="AF15" s="286">
        <f t="shared" si="7"/>
        <v>449129.99900000001</v>
      </c>
      <c r="AG15" s="610">
        <f t="shared" si="4"/>
        <v>66905</v>
      </c>
      <c r="AH15" s="287">
        <f t="shared" si="5"/>
        <v>260044.995</v>
      </c>
      <c r="AI15" s="287">
        <f t="shared" si="6"/>
        <v>122180.004</v>
      </c>
      <c r="AJ15" s="1441"/>
      <c r="AL15" s="278"/>
      <c r="AM15" s="279"/>
      <c r="AN15" s="280"/>
    </row>
    <row r="16" spans="1:40" ht="29.25" customHeight="1" x14ac:dyDescent="0.3">
      <c r="A16" s="135"/>
      <c r="B16" s="136"/>
      <c r="C16" s="136"/>
      <c r="D16" s="136"/>
      <c r="E16" s="136"/>
      <c r="F16" s="137"/>
      <c r="G16" s="138"/>
      <c r="H16" s="956"/>
      <c r="I16" s="793"/>
      <c r="J16" s="944" t="s">
        <v>160</v>
      </c>
      <c r="K16" s="794"/>
      <c r="L16" s="794"/>
      <c r="M16" s="841"/>
      <c r="N16" s="794"/>
      <c r="O16" s="794"/>
      <c r="P16" s="794"/>
      <c r="Q16" s="794"/>
      <c r="R16" s="794"/>
      <c r="S16" s="794"/>
      <c r="T16" s="794"/>
      <c r="U16" s="794"/>
      <c r="V16" s="794"/>
      <c r="W16" s="805">
        <f t="shared" ref="W16:W19" si="10">SUM(K16:V16)</f>
        <v>0</v>
      </c>
      <c r="X16" s="958" t="s">
        <v>1019</v>
      </c>
      <c r="Y16" s="772">
        <v>1</v>
      </c>
      <c r="Z16" s="877" t="s">
        <v>973</v>
      </c>
      <c r="AA16" s="772">
        <v>214</v>
      </c>
      <c r="AB16" s="798"/>
      <c r="AC16" s="774"/>
      <c r="AD16" s="772">
        <v>11</v>
      </c>
      <c r="AE16" s="867">
        <f t="shared" ref="AE16:AE19" si="11">W16/Y16</f>
        <v>0</v>
      </c>
      <c r="AF16" s="867">
        <f t="shared" ref="AF16:AF19" si="12">Y16*AE16</f>
        <v>0</v>
      </c>
      <c r="AG16" s="868">
        <f t="shared" si="4"/>
        <v>0</v>
      </c>
      <c r="AH16" s="869">
        <f t="shared" si="5"/>
        <v>0</v>
      </c>
      <c r="AI16" s="957">
        <f t="shared" si="6"/>
        <v>0</v>
      </c>
      <c r="AJ16" s="1460" t="s">
        <v>1009</v>
      </c>
      <c r="AK16" s="779"/>
      <c r="AL16" s="776"/>
      <c r="AM16" s="279"/>
      <c r="AN16" s="280"/>
    </row>
    <row r="17" spans="1:40" ht="29.25" customHeight="1" thickBot="1" x14ac:dyDescent="0.35">
      <c r="A17" s="135" t="s">
        <v>867</v>
      </c>
      <c r="B17" s="136"/>
      <c r="C17" s="136"/>
      <c r="D17" s="136"/>
      <c r="E17" s="136"/>
      <c r="F17" s="137"/>
      <c r="G17" s="138"/>
      <c r="H17" s="956"/>
      <c r="I17" s="793"/>
      <c r="J17" s="944" t="s">
        <v>160</v>
      </c>
      <c r="K17" s="794"/>
      <c r="L17" s="794"/>
      <c r="M17" s="794"/>
      <c r="N17" s="841"/>
      <c r="O17" s="794"/>
      <c r="P17" s="794"/>
      <c r="Q17" s="794"/>
      <c r="R17" s="794"/>
      <c r="S17" s="794"/>
      <c r="T17" s="794"/>
      <c r="U17" s="794"/>
      <c r="V17" s="794"/>
      <c r="W17" s="805">
        <f t="shared" si="10"/>
        <v>0</v>
      </c>
      <c r="X17" s="958" t="s">
        <v>1020</v>
      </c>
      <c r="Y17" s="772">
        <v>1</v>
      </c>
      <c r="Z17" s="877" t="s">
        <v>973</v>
      </c>
      <c r="AA17" s="772">
        <v>324</v>
      </c>
      <c r="AB17" s="798"/>
      <c r="AC17" s="774"/>
      <c r="AD17" s="772">
        <v>11</v>
      </c>
      <c r="AE17" s="867">
        <f t="shared" si="11"/>
        <v>0</v>
      </c>
      <c r="AF17" s="867">
        <f t="shared" si="12"/>
        <v>0</v>
      </c>
      <c r="AG17" s="868">
        <f t="shared" si="4"/>
        <v>0</v>
      </c>
      <c r="AH17" s="869">
        <f t="shared" si="5"/>
        <v>0</v>
      </c>
      <c r="AI17" s="957">
        <f t="shared" si="6"/>
        <v>0</v>
      </c>
      <c r="AJ17" s="1461"/>
      <c r="AK17" s="779"/>
      <c r="AL17" s="776"/>
      <c r="AM17" s="279"/>
      <c r="AN17" s="280"/>
    </row>
    <row r="18" spans="1:40" ht="29.25" customHeight="1" x14ac:dyDescent="0.3">
      <c r="A18" s="135"/>
      <c r="B18" s="136"/>
      <c r="C18" s="136"/>
      <c r="D18" s="136"/>
      <c r="E18" s="136"/>
      <c r="F18" s="137"/>
      <c r="G18" s="138"/>
      <c r="H18" s="956"/>
      <c r="I18" s="793"/>
      <c r="J18" s="944" t="s">
        <v>160</v>
      </c>
      <c r="K18" s="794"/>
      <c r="L18" s="794"/>
      <c r="M18" s="794"/>
      <c r="N18" s="794"/>
      <c r="O18" s="794"/>
      <c r="P18" s="794"/>
      <c r="Q18" s="794"/>
      <c r="R18" s="794"/>
      <c r="S18" s="794"/>
      <c r="T18" s="794"/>
      <c r="U18" s="794"/>
      <c r="V18" s="794"/>
      <c r="W18" s="805">
        <f t="shared" si="10"/>
        <v>0</v>
      </c>
      <c r="X18" s="958" t="s">
        <v>1021</v>
      </c>
      <c r="Y18" s="772">
        <v>4</v>
      </c>
      <c r="Z18" s="877" t="s">
        <v>973</v>
      </c>
      <c r="AA18" s="772">
        <v>322</v>
      </c>
      <c r="AB18" s="798"/>
      <c r="AC18" s="774"/>
      <c r="AD18" s="772">
        <v>11</v>
      </c>
      <c r="AE18" s="867">
        <f t="shared" si="11"/>
        <v>0</v>
      </c>
      <c r="AF18" s="867">
        <f t="shared" si="12"/>
        <v>0</v>
      </c>
      <c r="AG18" s="868">
        <f t="shared" si="4"/>
        <v>0</v>
      </c>
      <c r="AH18" s="869">
        <f t="shared" si="5"/>
        <v>0</v>
      </c>
      <c r="AI18" s="957">
        <f t="shared" si="6"/>
        <v>0</v>
      </c>
      <c r="AJ18" s="1458" t="s">
        <v>953</v>
      </c>
      <c r="AK18" s="779"/>
      <c r="AL18" s="776"/>
      <c r="AM18" s="279"/>
      <c r="AN18" s="280"/>
    </row>
    <row r="19" spans="1:40" ht="29.25" customHeight="1" thickBot="1" x14ac:dyDescent="0.35">
      <c r="A19" s="135"/>
      <c r="B19" s="136"/>
      <c r="C19" s="136"/>
      <c r="D19" s="136"/>
      <c r="E19" s="136"/>
      <c r="F19" s="137"/>
      <c r="G19" s="138"/>
      <c r="H19" s="956"/>
      <c r="I19" s="793"/>
      <c r="J19" s="944" t="s">
        <v>160</v>
      </c>
      <c r="K19" s="794"/>
      <c r="L19" s="794"/>
      <c r="M19" s="794"/>
      <c r="N19" s="794"/>
      <c r="O19" s="794"/>
      <c r="P19" s="794"/>
      <c r="Q19" s="794"/>
      <c r="R19" s="794"/>
      <c r="S19" s="794"/>
      <c r="T19" s="794"/>
      <c r="U19" s="794"/>
      <c r="V19" s="794"/>
      <c r="W19" s="805">
        <f t="shared" si="10"/>
        <v>0</v>
      </c>
      <c r="X19" s="958" t="s">
        <v>1022</v>
      </c>
      <c r="Y19" s="772">
        <v>4</v>
      </c>
      <c r="Z19" s="877" t="s">
        <v>973</v>
      </c>
      <c r="AA19" s="772">
        <v>322</v>
      </c>
      <c r="AB19" s="798"/>
      <c r="AC19" s="774"/>
      <c r="AD19" s="772">
        <v>11</v>
      </c>
      <c r="AE19" s="867">
        <f t="shared" si="11"/>
        <v>0</v>
      </c>
      <c r="AF19" s="867">
        <f t="shared" si="12"/>
        <v>0</v>
      </c>
      <c r="AG19" s="868">
        <f t="shared" si="4"/>
        <v>0</v>
      </c>
      <c r="AH19" s="869">
        <f t="shared" si="5"/>
        <v>0</v>
      </c>
      <c r="AI19" s="957">
        <f t="shared" si="6"/>
        <v>0</v>
      </c>
      <c r="AJ19" s="1459"/>
      <c r="AK19" s="779"/>
      <c r="AL19" s="776"/>
      <c r="AM19" s="279"/>
      <c r="AN19" s="280"/>
    </row>
    <row r="20" spans="1:40" s="859" customFormat="1" ht="34.5" customHeight="1" x14ac:dyDescent="0.25">
      <c r="A20" s="853"/>
      <c r="B20" s="854"/>
      <c r="C20" s="854"/>
      <c r="D20" s="854"/>
      <c r="E20" s="854"/>
      <c r="F20" s="855"/>
      <c r="G20" s="856"/>
      <c r="H20" s="1548" t="s">
        <v>1011</v>
      </c>
      <c r="I20" s="793"/>
      <c r="J20" s="768" t="s">
        <v>160</v>
      </c>
      <c r="K20" s="871"/>
      <c r="L20" s="872">
        <v>12000</v>
      </c>
      <c r="M20" s="873">
        <v>7000</v>
      </c>
      <c r="N20" s="874"/>
      <c r="O20" s="871"/>
      <c r="P20" s="875"/>
      <c r="Q20" s="875"/>
      <c r="R20" s="875"/>
      <c r="S20" s="875"/>
      <c r="T20" s="875"/>
      <c r="U20" s="875"/>
      <c r="V20" s="875"/>
      <c r="W20" s="876">
        <f t="shared" si="9"/>
        <v>19000</v>
      </c>
      <c r="X20" s="922" t="s">
        <v>996</v>
      </c>
      <c r="Y20" s="772">
        <v>6</v>
      </c>
      <c r="Z20" s="877" t="s">
        <v>973</v>
      </c>
      <c r="AA20" s="772">
        <v>328</v>
      </c>
      <c r="AB20" s="773"/>
      <c r="AC20" s="774"/>
      <c r="AD20" s="772">
        <v>11</v>
      </c>
      <c r="AE20" s="867">
        <f t="shared" si="8"/>
        <v>3166.6666666666665</v>
      </c>
      <c r="AF20" s="867">
        <f t="shared" si="7"/>
        <v>19000</v>
      </c>
      <c r="AG20" s="868">
        <f>SUM($K20:$M20)</f>
        <v>19000</v>
      </c>
      <c r="AH20" s="869">
        <f t="shared" si="5"/>
        <v>0</v>
      </c>
      <c r="AI20" s="957">
        <f t="shared" si="6"/>
        <v>0</v>
      </c>
      <c r="AJ20" s="1462" t="s">
        <v>1010</v>
      </c>
      <c r="AK20" s="874"/>
      <c r="AL20" s="872"/>
      <c r="AM20" s="857"/>
      <c r="AN20" s="858"/>
    </row>
    <row r="21" spans="1:40" ht="29.25" customHeight="1" x14ac:dyDescent="0.3">
      <c r="A21" s="135" t="s">
        <v>867</v>
      </c>
      <c r="B21" s="136"/>
      <c r="C21" s="136"/>
      <c r="D21" s="136"/>
      <c r="E21" s="136"/>
      <c r="F21" s="137"/>
      <c r="G21" s="138"/>
      <c r="H21" s="1548"/>
      <c r="I21" s="793"/>
      <c r="J21" s="768" t="s">
        <v>160</v>
      </c>
      <c r="K21" s="794"/>
      <c r="L21" s="794"/>
      <c r="M21" s="794"/>
      <c r="N21" s="841"/>
      <c r="O21" s="802"/>
      <c r="P21" s="794"/>
      <c r="Q21" s="794"/>
      <c r="R21" s="794"/>
      <c r="S21" s="794"/>
      <c r="T21" s="794"/>
      <c r="U21" s="794"/>
      <c r="V21" s="794"/>
      <c r="W21" s="805">
        <f t="shared" si="9"/>
        <v>0</v>
      </c>
      <c r="X21" s="958" t="s">
        <v>1023</v>
      </c>
      <c r="Y21" s="772">
        <v>2</v>
      </c>
      <c r="Z21" s="877" t="s">
        <v>973</v>
      </c>
      <c r="AA21" s="772"/>
      <c r="AB21" s="798"/>
      <c r="AC21" s="774"/>
      <c r="AD21" s="772">
        <v>11</v>
      </c>
      <c r="AE21" s="867">
        <f t="shared" si="8"/>
        <v>0</v>
      </c>
      <c r="AF21" s="867">
        <f t="shared" si="7"/>
        <v>0</v>
      </c>
      <c r="AG21" s="868">
        <f t="shared" si="4"/>
        <v>0</v>
      </c>
      <c r="AH21" s="869">
        <f t="shared" si="5"/>
        <v>0</v>
      </c>
      <c r="AI21" s="957">
        <f t="shared" si="6"/>
        <v>0</v>
      </c>
      <c r="AJ21" s="1463"/>
      <c r="AK21" s="779"/>
      <c r="AL21" s="776"/>
      <c r="AM21" s="279"/>
      <c r="AN21" s="280"/>
    </row>
    <row r="22" spans="1:40" ht="29.25" customHeight="1" x14ac:dyDescent="0.3">
      <c r="A22" s="135"/>
      <c r="B22" s="136"/>
      <c r="C22" s="136"/>
      <c r="D22" s="136"/>
      <c r="E22" s="136"/>
      <c r="F22" s="137"/>
      <c r="G22" s="138"/>
      <c r="H22" s="1548"/>
      <c r="I22" s="793"/>
      <c r="J22" s="768" t="s">
        <v>160</v>
      </c>
      <c r="K22" s="794"/>
      <c r="L22" s="794"/>
      <c r="M22" s="841"/>
      <c r="N22" s="794"/>
      <c r="O22" s="794"/>
      <c r="P22" s="794"/>
      <c r="Q22" s="794"/>
      <c r="R22" s="794"/>
      <c r="S22" s="794"/>
      <c r="T22" s="794"/>
      <c r="U22" s="794"/>
      <c r="V22" s="794"/>
      <c r="W22" s="805">
        <f t="shared" si="9"/>
        <v>0</v>
      </c>
      <c r="X22" s="958" t="s">
        <v>1024</v>
      </c>
      <c r="Y22" s="772">
        <v>3</v>
      </c>
      <c r="Z22" s="877" t="s">
        <v>973</v>
      </c>
      <c r="AA22" s="772">
        <v>322</v>
      </c>
      <c r="AB22" s="798"/>
      <c r="AC22" s="774"/>
      <c r="AD22" s="772">
        <v>11</v>
      </c>
      <c r="AE22" s="867">
        <f t="shared" si="8"/>
        <v>0</v>
      </c>
      <c r="AF22" s="867">
        <f t="shared" si="7"/>
        <v>0</v>
      </c>
      <c r="AG22" s="868">
        <f t="shared" si="4"/>
        <v>0</v>
      </c>
      <c r="AH22" s="869">
        <f t="shared" si="5"/>
        <v>0</v>
      </c>
      <c r="AI22" s="957">
        <f t="shared" si="6"/>
        <v>0</v>
      </c>
      <c r="AJ22" s="1463"/>
      <c r="AK22" s="779"/>
      <c r="AL22" s="776"/>
      <c r="AM22" s="279"/>
      <c r="AN22" s="280"/>
    </row>
    <row r="23" spans="1:40" ht="29.25" customHeight="1" x14ac:dyDescent="0.3">
      <c r="A23" s="135"/>
      <c r="B23" s="136"/>
      <c r="C23" s="136"/>
      <c r="D23" s="136"/>
      <c r="E23" s="136"/>
      <c r="F23" s="137"/>
      <c r="G23" s="138"/>
      <c r="H23" s="1548"/>
      <c r="I23" s="793"/>
      <c r="J23" s="768" t="s">
        <v>160</v>
      </c>
      <c r="K23" s="794"/>
      <c r="L23" s="794"/>
      <c r="M23" s="841"/>
      <c r="N23" s="794"/>
      <c r="O23" s="794"/>
      <c r="P23" s="794"/>
      <c r="Q23" s="794"/>
      <c r="R23" s="794"/>
      <c r="S23" s="794"/>
      <c r="T23" s="794"/>
      <c r="U23" s="794"/>
      <c r="V23" s="794"/>
      <c r="W23" s="805">
        <f t="shared" ref="W23" si="13">SUM(K23:V23)</f>
        <v>0</v>
      </c>
      <c r="X23" s="958" t="s">
        <v>1025</v>
      </c>
      <c r="Y23" s="772">
        <v>3</v>
      </c>
      <c r="Z23" s="877" t="s">
        <v>973</v>
      </c>
      <c r="AA23" s="772">
        <v>322</v>
      </c>
      <c r="AB23" s="798"/>
      <c r="AC23" s="774"/>
      <c r="AD23" s="772">
        <v>11</v>
      </c>
      <c r="AE23" s="867">
        <f t="shared" si="8"/>
        <v>0</v>
      </c>
      <c r="AF23" s="867">
        <f t="shared" si="7"/>
        <v>0</v>
      </c>
      <c r="AG23" s="868">
        <f t="shared" si="4"/>
        <v>0</v>
      </c>
      <c r="AH23" s="869">
        <f t="shared" si="5"/>
        <v>0</v>
      </c>
      <c r="AI23" s="957">
        <f t="shared" si="6"/>
        <v>0</v>
      </c>
      <c r="AJ23" s="1463"/>
      <c r="AK23" s="779"/>
      <c r="AL23" s="776"/>
      <c r="AM23" s="279"/>
      <c r="AN23" s="280"/>
    </row>
    <row r="24" spans="1:40" ht="29.25" customHeight="1" x14ac:dyDescent="0.3">
      <c r="A24" s="135"/>
      <c r="B24" s="136"/>
      <c r="C24" s="136"/>
      <c r="D24" s="136"/>
      <c r="E24" s="136"/>
      <c r="F24" s="137"/>
      <c r="G24" s="138"/>
      <c r="H24" s="1548"/>
      <c r="I24" s="793"/>
      <c r="J24" s="768" t="s">
        <v>160</v>
      </c>
      <c r="K24" s="794"/>
      <c r="L24" s="794"/>
      <c r="M24" s="794"/>
      <c r="N24" s="794"/>
      <c r="O24" s="779"/>
      <c r="P24" s="794"/>
      <c r="Q24" s="794"/>
      <c r="R24" s="794"/>
      <c r="S24" s="794"/>
      <c r="T24" s="794"/>
      <c r="U24" s="794"/>
      <c r="V24" s="794"/>
      <c r="W24" s="805">
        <f t="shared" ref="W24" si="14">SUM(K24:V24)</f>
        <v>0</v>
      </c>
      <c r="X24" s="878" t="s">
        <v>1026</v>
      </c>
      <c r="Y24" s="772">
        <v>10</v>
      </c>
      <c r="Z24" s="877" t="s">
        <v>973</v>
      </c>
      <c r="AA24" s="772">
        <v>322</v>
      </c>
      <c r="AB24" s="798"/>
      <c r="AC24" s="774"/>
      <c r="AD24" s="772">
        <v>11</v>
      </c>
      <c r="AE24" s="867">
        <f t="shared" si="8"/>
        <v>0</v>
      </c>
      <c r="AF24" s="867">
        <f t="shared" si="7"/>
        <v>0</v>
      </c>
      <c r="AG24" s="868">
        <f t="shared" si="4"/>
        <v>0</v>
      </c>
      <c r="AH24" s="869">
        <f t="shared" si="5"/>
        <v>0</v>
      </c>
      <c r="AI24" s="957">
        <f t="shared" si="6"/>
        <v>0</v>
      </c>
      <c r="AJ24" s="1463"/>
      <c r="AK24" s="779"/>
      <c r="AL24" s="776"/>
      <c r="AM24" s="279"/>
      <c r="AN24" s="280"/>
    </row>
    <row r="25" spans="1:40" ht="29.25" customHeight="1" x14ac:dyDescent="0.3">
      <c r="A25" s="135"/>
      <c r="B25" s="136"/>
      <c r="C25" s="136"/>
      <c r="D25" s="136"/>
      <c r="E25" s="136"/>
      <c r="F25" s="137"/>
      <c r="G25" s="138"/>
      <c r="H25" s="1548"/>
      <c r="I25" s="793"/>
      <c r="J25" s="768" t="s">
        <v>160</v>
      </c>
      <c r="K25" s="794"/>
      <c r="L25" s="794"/>
      <c r="M25" s="794"/>
      <c r="N25" s="794"/>
      <c r="O25" s="794"/>
      <c r="P25" s="794"/>
      <c r="Q25" s="841"/>
      <c r="R25" s="794"/>
      <c r="S25" s="794"/>
      <c r="T25" s="794"/>
      <c r="U25" s="794"/>
      <c r="V25" s="794"/>
      <c r="W25" s="805">
        <f t="shared" si="9"/>
        <v>0</v>
      </c>
      <c r="X25" s="958" t="s">
        <v>1027</v>
      </c>
      <c r="Y25" s="772">
        <v>100</v>
      </c>
      <c r="Z25" s="877" t="s">
        <v>973</v>
      </c>
      <c r="AA25" s="874">
        <v>322</v>
      </c>
      <c r="AB25" s="841"/>
      <c r="AC25" s="774"/>
      <c r="AD25" s="772">
        <v>11</v>
      </c>
      <c r="AE25" s="867">
        <f t="shared" si="8"/>
        <v>0</v>
      </c>
      <c r="AF25" s="867">
        <f t="shared" si="7"/>
        <v>0</v>
      </c>
      <c r="AG25" s="868">
        <f t="shared" si="4"/>
        <v>0</v>
      </c>
      <c r="AH25" s="869">
        <f t="shared" si="5"/>
        <v>0</v>
      </c>
      <c r="AI25" s="957">
        <f t="shared" si="6"/>
        <v>0</v>
      </c>
      <c r="AJ25" s="1463"/>
      <c r="AK25" s="779"/>
      <c r="AL25" s="776"/>
      <c r="AM25" s="279"/>
      <c r="AN25" s="280"/>
    </row>
    <row r="26" spans="1:40" ht="29.25" customHeight="1" x14ac:dyDescent="0.3">
      <c r="A26" s="135"/>
      <c r="B26" s="136"/>
      <c r="C26" s="136"/>
      <c r="D26" s="136"/>
      <c r="E26" s="136"/>
      <c r="F26" s="137"/>
      <c r="G26" s="138"/>
      <c r="H26" s="1548"/>
      <c r="I26" s="793"/>
      <c r="J26" s="768" t="s">
        <v>160</v>
      </c>
      <c r="K26" s="794"/>
      <c r="L26" s="794"/>
      <c r="M26" s="794"/>
      <c r="N26" s="794"/>
      <c r="O26" s="794"/>
      <c r="P26" s="794"/>
      <c r="Q26" s="841"/>
      <c r="R26" s="794"/>
      <c r="S26" s="794"/>
      <c r="T26" s="794"/>
      <c r="U26" s="794"/>
      <c r="V26" s="794"/>
      <c r="W26" s="805">
        <f t="shared" ref="W26" si="15">SUM(K26:V26)</f>
        <v>0</v>
      </c>
      <c r="X26" s="958" t="s">
        <v>1028</v>
      </c>
      <c r="Y26" s="772">
        <v>25</v>
      </c>
      <c r="Z26" s="877" t="s">
        <v>973</v>
      </c>
      <c r="AA26" s="772">
        <v>322</v>
      </c>
      <c r="AB26" s="879">
        <v>61750</v>
      </c>
      <c r="AC26" s="774"/>
      <c r="AD26" s="772">
        <v>11</v>
      </c>
      <c r="AE26" s="867">
        <f t="shared" si="8"/>
        <v>0</v>
      </c>
      <c r="AF26" s="867">
        <f t="shared" si="7"/>
        <v>0</v>
      </c>
      <c r="AG26" s="868">
        <f t="shared" si="4"/>
        <v>0</v>
      </c>
      <c r="AH26" s="869">
        <f t="shared" si="5"/>
        <v>0</v>
      </c>
      <c r="AI26" s="957">
        <f t="shared" si="6"/>
        <v>0</v>
      </c>
      <c r="AJ26" s="1463"/>
      <c r="AK26" s="779"/>
      <c r="AL26" s="776"/>
      <c r="AM26" s="279"/>
      <c r="AN26" s="280"/>
    </row>
    <row r="27" spans="1:40" ht="29.25" customHeight="1" x14ac:dyDescent="0.3">
      <c r="A27" s="135"/>
      <c r="B27" s="136"/>
      <c r="C27" s="136"/>
      <c r="D27" s="136"/>
      <c r="E27" s="136"/>
      <c r="F27" s="137"/>
      <c r="G27" s="138"/>
      <c r="H27" s="1548"/>
      <c r="I27" s="793"/>
      <c r="J27" s="768" t="s">
        <v>160</v>
      </c>
      <c r="K27" s="794"/>
      <c r="L27" s="794"/>
      <c r="M27" s="794"/>
      <c r="N27" s="794"/>
      <c r="O27" s="794"/>
      <c r="P27" s="794"/>
      <c r="Q27" s="794"/>
      <c r="R27" s="794"/>
      <c r="S27" s="881"/>
      <c r="T27" s="794"/>
      <c r="U27" s="794"/>
      <c r="V27" s="794"/>
      <c r="W27" s="805">
        <f t="shared" ref="W27" si="16">SUM(K27:V27)</f>
        <v>0</v>
      </c>
      <c r="X27" s="958" t="s">
        <v>1029</v>
      </c>
      <c r="Y27" s="772">
        <v>100</v>
      </c>
      <c r="Z27" s="882" t="s">
        <v>973</v>
      </c>
      <c r="AA27" s="772">
        <v>296</v>
      </c>
      <c r="AB27" s="798"/>
      <c r="AC27" s="774"/>
      <c r="AD27" s="772">
        <v>11</v>
      </c>
      <c r="AE27" s="867">
        <f t="shared" si="8"/>
        <v>0</v>
      </c>
      <c r="AF27" s="867">
        <f t="shared" si="7"/>
        <v>0</v>
      </c>
      <c r="AG27" s="868">
        <f t="shared" si="4"/>
        <v>0</v>
      </c>
      <c r="AH27" s="869">
        <f t="shared" si="5"/>
        <v>0</v>
      </c>
      <c r="AI27" s="957">
        <f t="shared" si="6"/>
        <v>0</v>
      </c>
      <c r="AJ27" s="1463"/>
      <c r="AK27" s="779"/>
      <c r="AL27" s="776"/>
      <c r="AM27" s="279"/>
      <c r="AN27" s="280"/>
    </row>
    <row r="28" spans="1:40" ht="29.25" customHeight="1" x14ac:dyDescent="0.3">
      <c r="A28" s="135"/>
      <c r="B28" s="136"/>
      <c r="C28" s="136"/>
      <c r="D28" s="136"/>
      <c r="E28" s="136"/>
      <c r="F28" s="137"/>
      <c r="G28" s="138"/>
      <c r="H28" s="1548"/>
      <c r="I28" s="793"/>
      <c r="J28" s="768" t="s">
        <v>160</v>
      </c>
      <c r="K28" s="794"/>
      <c r="L28" s="794"/>
      <c r="M28" s="794"/>
      <c r="N28" s="794"/>
      <c r="O28" s="794"/>
      <c r="P28" s="794"/>
      <c r="Q28" s="794"/>
      <c r="R28" s="794"/>
      <c r="S28" s="881"/>
      <c r="T28" s="794"/>
      <c r="U28" s="794"/>
      <c r="V28" s="794"/>
      <c r="W28" s="805">
        <f t="shared" ref="W28" si="17">SUM(K28:V28)</f>
        <v>0</v>
      </c>
      <c r="X28" s="958" t="s">
        <v>1031</v>
      </c>
      <c r="Y28" s="772">
        <v>100</v>
      </c>
      <c r="Z28" s="882" t="s">
        <v>973</v>
      </c>
      <c r="AA28" s="772">
        <v>296</v>
      </c>
      <c r="AB28" s="798"/>
      <c r="AC28" s="774"/>
      <c r="AD28" s="772">
        <v>11</v>
      </c>
      <c r="AE28" s="867">
        <f t="shared" si="8"/>
        <v>0</v>
      </c>
      <c r="AF28" s="867">
        <f t="shared" ref="AF28" si="18">Y28*AE28</f>
        <v>0</v>
      </c>
      <c r="AG28" s="868">
        <f t="shared" si="4"/>
        <v>0</v>
      </c>
      <c r="AH28" s="869">
        <f t="shared" si="5"/>
        <v>0</v>
      </c>
      <c r="AI28" s="957">
        <f t="shared" si="6"/>
        <v>0</v>
      </c>
      <c r="AJ28" s="1463"/>
      <c r="AK28" s="779"/>
      <c r="AL28" s="776"/>
      <c r="AM28" s="279"/>
      <c r="AN28" s="280"/>
    </row>
    <row r="29" spans="1:40" ht="29.25" customHeight="1" x14ac:dyDescent="0.3">
      <c r="A29" s="135"/>
      <c r="B29" s="136"/>
      <c r="C29" s="136"/>
      <c r="D29" s="136"/>
      <c r="E29" s="136"/>
      <c r="F29" s="137"/>
      <c r="G29" s="138"/>
      <c r="H29" s="1548"/>
      <c r="I29" s="793"/>
      <c r="J29" s="768" t="s">
        <v>160</v>
      </c>
      <c r="K29" s="794"/>
      <c r="L29" s="794"/>
      <c r="M29" s="794"/>
      <c r="N29" s="794"/>
      <c r="O29" s="883"/>
      <c r="P29" s="794"/>
      <c r="Q29" s="794"/>
      <c r="R29" s="794"/>
      <c r="S29" s="881"/>
      <c r="T29" s="794"/>
      <c r="U29" s="794"/>
      <c r="V29" s="794"/>
      <c r="W29" s="805">
        <f t="shared" ref="W29" si="19">SUM(K29:V29)</f>
        <v>0</v>
      </c>
      <c r="X29" s="958" t="s">
        <v>1030</v>
      </c>
      <c r="Y29" s="772">
        <v>100</v>
      </c>
      <c r="Z29" s="882" t="s">
        <v>973</v>
      </c>
      <c r="AA29" s="772">
        <v>296</v>
      </c>
      <c r="AB29" s="798"/>
      <c r="AC29" s="774"/>
      <c r="AD29" s="772">
        <v>11</v>
      </c>
      <c r="AE29" s="867">
        <f t="shared" si="8"/>
        <v>0</v>
      </c>
      <c r="AF29" s="867">
        <f t="shared" ref="AF29" si="20">Y29*AE29</f>
        <v>0</v>
      </c>
      <c r="AG29" s="868">
        <f t="shared" si="4"/>
        <v>0</v>
      </c>
      <c r="AH29" s="869">
        <f t="shared" si="5"/>
        <v>0</v>
      </c>
      <c r="AI29" s="957">
        <f t="shared" si="6"/>
        <v>0</v>
      </c>
      <c r="AJ29" s="1463"/>
      <c r="AK29" s="779"/>
      <c r="AL29" s="776"/>
      <c r="AM29" s="279"/>
      <c r="AN29" s="280"/>
    </row>
    <row r="30" spans="1:40" ht="29.25" customHeight="1" x14ac:dyDescent="0.3">
      <c r="A30" s="135"/>
      <c r="B30" s="136"/>
      <c r="C30" s="136"/>
      <c r="D30" s="136"/>
      <c r="E30" s="136"/>
      <c r="F30" s="137"/>
      <c r="G30" s="138"/>
      <c r="H30" s="1548"/>
      <c r="I30" s="793"/>
      <c r="J30" s="768" t="s">
        <v>160</v>
      </c>
      <c r="K30" s="794"/>
      <c r="L30" s="794"/>
      <c r="M30" s="794"/>
      <c r="N30" s="794"/>
      <c r="O30" s="794"/>
      <c r="P30" s="794"/>
      <c r="Q30" s="794"/>
      <c r="R30" s="794"/>
      <c r="S30" s="881"/>
      <c r="T30" s="794"/>
      <c r="U30" s="794"/>
      <c r="V30" s="794"/>
      <c r="W30" s="796">
        <f t="shared" ref="W30" si="21">SUM(K30:V30)</f>
        <v>0</v>
      </c>
      <c r="X30" s="958" t="s">
        <v>1032</v>
      </c>
      <c r="Y30" s="772">
        <v>100</v>
      </c>
      <c r="Z30" s="882" t="s">
        <v>973</v>
      </c>
      <c r="AA30" s="772">
        <v>296</v>
      </c>
      <c r="AB30" s="798"/>
      <c r="AC30" s="774"/>
      <c r="AD30" s="772">
        <v>11</v>
      </c>
      <c r="AE30" s="867">
        <f t="shared" si="8"/>
        <v>0</v>
      </c>
      <c r="AF30" s="867">
        <f t="shared" ref="AF30" si="22">Y30*AE30</f>
        <v>0</v>
      </c>
      <c r="AG30" s="868">
        <f t="shared" si="4"/>
        <v>0</v>
      </c>
      <c r="AH30" s="869">
        <f t="shared" si="5"/>
        <v>0</v>
      </c>
      <c r="AI30" s="957">
        <f t="shared" si="6"/>
        <v>0</v>
      </c>
      <c r="AJ30" s="1463"/>
      <c r="AK30" s="779"/>
      <c r="AL30" s="776"/>
      <c r="AM30" s="279"/>
      <c r="AN30" s="280"/>
    </row>
    <row r="31" spans="1:40" ht="29.25" customHeight="1" x14ac:dyDescent="0.3">
      <c r="A31" s="135"/>
      <c r="B31" s="136"/>
      <c r="C31" s="136"/>
      <c r="D31" s="136"/>
      <c r="E31" s="136"/>
      <c r="F31" s="137"/>
      <c r="G31" s="138"/>
      <c r="H31" s="1548"/>
      <c r="I31" s="793"/>
      <c r="J31" s="768" t="s">
        <v>160</v>
      </c>
      <c r="K31" s="794"/>
      <c r="L31" s="794"/>
      <c r="M31" s="794"/>
      <c r="N31" s="794"/>
      <c r="O31" s="794"/>
      <c r="P31" s="794"/>
      <c r="Q31" s="794"/>
      <c r="R31" s="794"/>
      <c r="S31" s="881"/>
      <c r="T31" s="794"/>
      <c r="U31" s="794"/>
      <c r="V31" s="794"/>
      <c r="W31" s="796">
        <f>SUM(K31:V31)</f>
        <v>0</v>
      </c>
      <c r="X31" s="958" t="s">
        <v>1033</v>
      </c>
      <c r="Y31" s="772">
        <v>100</v>
      </c>
      <c r="Z31" s="882" t="s">
        <v>973</v>
      </c>
      <c r="AA31" s="772">
        <v>296</v>
      </c>
      <c r="AB31" s="798"/>
      <c r="AC31" s="774"/>
      <c r="AD31" s="772">
        <v>11</v>
      </c>
      <c r="AE31" s="867">
        <f>W31/Y31</f>
        <v>0</v>
      </c>
      <c r="AF31" s="867">
        <f t="shared" ref="AF31" si="23">Y31*AE31</f>
        <v>0</v>
      </c>
      <c r="AG31" s="868">
        <f t="shared" si="4"/>
        <v>0</v>
      </c>
      <c r="AH31" s="869">
        <f t="shared" si="5"/>
        <v>0</v>
      </c>
      <c r="AI31" s="957">
        <f>SUM($S31:$V31)</f>
        <v>0</v>
      </c>
      <c r="AJ31" s="1463"/>
      <c r="AK31" s="779"/>
      <c r="AL31" s="776"/>
      <c r="AM31" s="279"/>
      <c r="AN31" s="280"/>
    </row>
    <row r="32" spans="1:40" ht="29.25" customHeight="1" x14ac:dyDescent="0.3">
      <c r="A32" s="135"/>
      <c r="B32" s="136"/>
      <c r="C32" s="136"/>
      <c r="D32" s="136"/>
      <c r="E32" s="136"/>
      <c r="F32" s="137"/>
      <c r="G32" s="138"/>
      <c r="H32" s="1548"/>
      <c r="I32" s="793"/>
      <c r="J32" s="768" t="s">
        <v>160</v>
      </c>
      <c r="K32" s="794"/>
      <c r="L32" s="794"/>
      <c r="M32" s="794"/>
      <c r="N32" s="794"/>
      <c r="O32" s="794"/>
      <c r="P32" s="794"/>
      <c r="Q32" s="794"/>
      <c r="R32" s="794"/>
      <c r="S32" s="884"/>
      <c r="T32" s="841"/>
      <c r="U32" s="794"/>
      <c r="V32" s="794"/>
      <c r="W32" s="805">
        <f t="shared" ref="W32:W35" si="24">SUM(K32:V32)</f>
        <v>0</v>
      </c>
      <c r="X32" s="958" t="s">
        <v>1034</v>
      </c>
      <c r="Y32" s="772">
        <v>75</v>
      </c>
      <c r="Z32" s="882" t="s">
        <v>973</v>
      </c>
      <c r="AA32" s="772"/>
      <c r="AB32" s="798"/>
      <c r="AC32" s="774"/>
      <c r="AD32" s="772">
        <v>11</v>
      </c>
      <c r="AE32" s="867">
        <f>W32/Y32</f>
        <v>0</v>
      </c>
      <c r="AF32" s="867">
        <f t="shared" si="7"/>
        <v>0</v>
      </c>
      <c r="AG32" s="868">
        <f t="shared" si="4"/>
        <v>0</v>
      </c>
      <c r="AH32" s="869">
        <f t="shared" si="5"/>
        <v>0</v>
      </c>
      <c r="AI32" s="957">
        <f>SUM($S32:$V32)</f>
        <v>0</v>
      </c>
      <c r="AJ32" s="1463"/>
      <c r="AK32" s="779"/>
      <c r="AL32" s="776"/>
      <c r="AM32" s="279"/>
      <c r="AN32" s="280"/>
    </row>
    <row r="33" spans="1:40" ht="28.8" x14ac:dyDescent="0.3">
      <c r="A33" s="135"/>
      <c r="B33" s="136"/>
      <c r="C33" s="136"/>
      <c r="D33" s="136"/>
      <c r="E33" s="136"/>
      <c r="F33" s="137"/>
      <c r="G33" s="138"/>
      <c r="H33" s="1548"/>
      <c r="I33" s="793"/>
      <c r="J33" s="800" t="s">
        <v>160</v>
      </c>
      <c r="K33" s="801"/>
      <c r="L33" s="885"/>
      <c r="M33" s="801">
        <v>1000</v>
      </c>
      <c r="N33" s="802"/>
      <c r="O33" s="885"/>
      <c r="P33" s="841"/>
      <c r="Q33" s="801">
        <v>0</v>
      </c>
      <c r="R33" s="801"/>
      <c r="S33" s="801">
        <v>0</v>
      </c>
      <c r="T33" s="801">
        <v>0</v>
      </c>
      <c r="U33" s="801">
        <v>0</v>
      </c>
      <c r="V33" s="801">
        <v>0</v>
      </c>
      <c r="W33" s="805">
        <f t="shared" si="24"/>
        <v>1000</v>
      </c>
      <c r="X33" s="886" t="s">
        <v>978</v>
      </c>
      <c r="Y33" s="772">
        <v>1</v>
      </c>
      <c r="Z33" s="882" t="s">
        <v>973</v>
      </c>
      <c r="AA33" s="772">
        <v>300</v>
      </c>
      <c r="AB33" s="798" t="s">
        <v>451</v>
      </c>
      <c r="AC33" s="806" t="s">
        <v>866</v>
      </c>
      <c r="AD33" s="772">
        <v>11</v>
      </c>
      <c r="AE33" s="867"/>
      <c r="AF33" s="867">
        <f t="shared" ref="AF33" si="25">Y33*AE33</f>
        <v>0</v>
      </c>
      <c r="AG33" s="868">
        <f t="shared" si="4"/>
        <v>1000</v>
      </c>
      <c r="AH33" s="869">
        <f t="shared" si="5"/>
        <v>0</v>
      </c>
      <c r="AI33" s="957">
        <f t="shared" si="6"/>
        <v>0</v>
      </c>
      <c r="AJ33" s="1463"/>
      <c r="AK33" s="779"/>
      <c r="AL33" s="776"/>
      <c r="AM33" s="279"/>
      <c r="AN33" s="280"/>
    </row>
    <row r="34" spans="1:40" ht="28.8" x14ac:dyDescent="0.3">
      <c r="A34" s="135"/>
      <c r="B34" s="136"/>
      <c r="C34" s="136"/>
      <c r="D34" s="136"/>
      <c r="E34" s="136"/>
      <c r="F34" s="137"/>
      <c r="G34" s="138"/>
      <c r="H34" s="1548"/>
      <c r="I34" s="793"/>
      <c r="J34" s="800" t="s">
        <v>160</v>
      </c>
      <c r="K34" s="801"/>
      <c r="L34" s="885"/>
      <c r="M34" s="801">
        <v>1100</v>
      </c>
      <c r="N34" s="802"/>
      <c r="O34" s="885"/>
      <c r="P34" s="841"/>
      <c r="Q34" s="801">
        <v>0</v>
      </c>
      <c r="R34" s="801"/>
      <c r="S34" s="801">
        <v>0</v>
      </c>
      <c r="T34" s="801">
        <v>0</v>
      </c>
      <c r="U34" s="801">
        <v>0</v>
      </c>
      <c r="V34" s="801">
        <v>0</v>
      </c>
      <c r="W34" s="805">
        <f t="shared" si="24"/>
        <v>1100</v>
      </c>
      <c r="X34" s="886" t="s">
        <v>979</v>
      </c>
      <c r="Y34" s="772">
        <v>1</v>
      </c>
      <c r="Z34" s="882" t="s">
        <v>973</v>
      </c>
      <c r="AA34" s="772">
        <v>300</v>
      </c>
      <c r="AB34" s="798" t="s">
        <v>451</v>
      </c>
      <c r="AC34" s="806" t="s">
        <v>866</v>
      </c>
      <c r="AD34" s="772">
        <v>11</v>
      </c>
      <c r="AE34" s="867"/>
      <c r="AF34" s="867">
        <f t="shared" ref="AF34" si="26">Y34*AE34</f>
        <v>0</v>
      </c>
      <c r="AG34" s="868">
        <f t="shared" si="4"/>
        <v>1100</v>
      </c>
      <c r="AH34" s="869">
        <f t="shared" si="5"/>
        <v>0</v>
      </c>
      <c r="AI34" s="957">
        <f t="shared" si="6"/>
        <v>0</v>
      </c>
      <c r="AJ34" s="1463"/>
      <c r="AK34" s="779"/>
      <c r="AL34" s="776"/>
      <c r="AM34" s="279"/>
      <c r="AN34" s="280"/>
    </row>
    <row r="35" spans="1:40" ht="29.4" thickBot="1" x14ac:dyDescent="0.35">
      <c r="A35" s="135"/>
      <c r="B35" s="136"/>
      <c r="C35" s="136"/>
      <c r="D35" s="136"/>
      <c r="E35" s="136"/>
      <c r="F35" s="137"/>
      <c r="G35" s="138"/>
      <c r="H35" s="1548"/>
      <c r="I35" s="793"/>
      <c r="J35" s="800" t="s">
        <v>160</v>
      </c>
      <c r="K35" s="801"/>
      <c r="L35" s="885"/>
      <c r="M35" s="779"/>
      <c r="N35" s="801">
        <v>700</v>
      </c>
      <c r="O35" s="885"/>
      <c r="P35" s="801">
        <v>0</v>
      </c>
      <c r="Q35" s="801">
        <v>0</v>
      </c>
      <c r="R35" s="801"/>
      <c r="S35" s="801">
        <v>0</v>
      </c>
      <c r="T35" s="801">
        <v>0</v>
      </c>
      <c r="U35" s="801">
        <v>0</v>
      </c>
      <c r="V35" s="801">
        <v>0</v>
      </c>
      <c r="W35" s="805">
        <f t="shared" si="24"/>
        <v>700</v>
      </c>
      <c r="X35" s="887" t="s">
        <v>995</v>
      </c>
      <c r="Y35" s="772">
        <v>1</v>
      </c>
      <c r="Z35" s="882" t="s">
        <v>973</v>
      </c>
      <c r="AA35" s="772">
        <v>300</v>
      </c>
      <c r="AB35" s="798" t="s">
        <v>451</v>
      </c>
      <c r="AC35" s="806" t="s">
        <v>866</v>
      </c>
      <c r="AD35" s="772">
        <v>11</v>
      </c>
      <c r="AE35" s="867"/>
      <c r="AF35" s="867">
        <f t="shared" si="7"/>
        <v>0</v>
      </c>
      <c r="AG35" s="868">
        <f>SUM($K35:$N35)</f>
        <v>700</v>
      </c>
      <c r="AH35" s="869">
        <f t="shared" si="5"/>
        <v>0</v>
      </c>
      <c r="AI35" s="957">
        <f t="shared" si="6"/>
        <v>0</v>
      </c>
      <c r="AJ35" s="1463"/>
      <c r="AK35" s="779"/>
      <c r="AL35" s="776"/>
      <c r="AM35" s="279"/>
      <c r="AN35" s="280"/>
    </row>
    <row r="36" spans="1:40" ht="36.75" customHeight="1" x14ac:dyDescent="0.3">
      <c r="A36" s="135"/>
      <c r="B36" s="136"/>
      <c r="C36" s="136"/>
      <c r="D36" s="136"/>
      <c r="E36" s="136"/>
      <c r="F36" s="137"/>
      <c r="G36" s="138"/>
      <c r="H36" s="1447" t="s">
        <v>869</v>
      </c>
      <c r="I36" s="1450" t="s">
        <v>447</v>
      </c>
      <c r="J36" s="584" t="s">
        <v>70</v>
      </c>
      <c r="K36" s="593">
        <f>15*3</f>
        <v>45</v>
      </c>
      <c r="L36" s="593">
        <f t="shared" ref="L36:V36" si="27">15*3</f>
        <v>45</v>
      </c>
      <c r="M36" s="593">
        <f t="shared" si="27"/>
        <v>45</v>
      </c>
      <c r="N36" s="593">
        <f t="shared" si="27"/>
        <v>45</v>
      </c>
      <c r="O36" s="593">
        <f t="shared" si="27"/>
        <v>45</v>
      </c>
      <c r="P36" s="593">
        <f t="shared" si="27"/>
        <v>45</v>
      </c>
      <c r="Q36" s="593">
        <f t="shared" si="27"/>
        <v>45</v>
      </c>
      <c r="R36" s="593">
        <f t="shared" si="27"/>
        <v>45</v>
      </c>
      <c r="S36" s="593">
        <f t="shared" si="27"/>
        <v>45</v>
      </c>
      <c r="T36" s="593">
        <f t="shared" si="27"/>
        <v>45</v>
      </c>
      <c r="U36" s="593">
        <f t="shared" si="27"/>
        <v>45</v>
      </c>
      <c r="V36" s="593">
        <f t="shared" si="27"/>
        <v>45</v>
      </c>
      <c r="W36" s="590">
        <f t="shared" si="9"/>
        <v>540</v>
      </c>
      <c r="X36" s="313"/>
      <c r="Y36" s="283"/>
      <c r="Z36" s="305"/>
      <c r="AA36" s="305"/>
      <c r="AB36" s="305"/>
      <c r="AC36" s="305"/>
      <c r="AD36" s="305"/>
      <c r="AE36" s="286"/>
      <c r="AF36" s="286">
        <f t="shared" si="7"/>
        <v>0</v>
      </c>
      <c r="AG36" s="610">
        <f t="shared" si="4"/>
        <v>180</v>
      </c>
      <c r="AH36" s="287">
        <f t="shared" si="5"/>
        <v>180</v>
      </c>
      <c r="AI36" s="959">
        <f t="shared" si="6"/>
        <v>180</v>
      </c>
      <c r="AJ36" s="1453" t="s">
        <v>468</v>
      </c>
    </row>
    <row r="37" spans="1:40" ht="27" customHeight="1" x14ac:dyDescent="0.3">
      <c r="A37" s="135"/>
      <c r="B37" s="136"/>
      <c r="C37" s="136"/>
      <c r="D37" s="136"/>
      <c r="E37" s="136"/>
      <c r="F37" s="137"/>
      <c r="G37" s="138"/>
      <c r="H37" s="1448"/>
      <c r="I37" s="1451"/>
      <c r="J37" s="584" t="s">
        <v>160</v>
      </c>
      <c r="K37" s="585">
        <v>11500</v>
      </c>
      <c r="L37" s="586">
        <v>12000</v>
      </c>
      <c r="M37" s="586">
        <v>12000</v>
      </c>
      <c r="N37" s="586">
        <v>12000</v>
      </c>
      <c r="O37" s="586">
        <v>12000</v>
      </c>
      <c r="P37" s="586">
        <v>12000</v>
      </c>
      <c r="Q37" s="586">
        <v>12000</v>
      </c>
      <c r="R37" s="586">
        <v>12000</v>
      </c>
      <c r="S37" s="586">
        <v>12000</v>
      </c>
      <c r="T37" s="586">
        <v>12000</v>
      </c>
      <c r="U37" s="586">
        <v>12000</v>
      </c>
      <c r="V37" s="586">
        <v>12000</v>
      </c>
      <c r="W37" s="588">
        <f t="shared" si="9"/>
        <v>143500</v>
      </c>
      <c r="X37" s="581" t="s">
        <v>465</v>
      </c>
      <c r="Y37" s="283">
        <v>540</v>
      </c>
      <c r="Z37" s="614" t="s">
        <v>466</v>
      </c>
      <c r="AA37" s="283">
        <v>61</v>
      </c>
      <c r="AB37" s="578" t="s">
        <v>451</v>
      </c>
      <c r="AC37" s="579" t="s">
        <v>866</v>
      </c>
      <c r="AD37" s="283">
        <v>11</v>
      </c>
      <c r="AE37" s="286"/>
      <c r="AF37" s="286">
        <f t="shared" si="7"/>
        <v>0</v>
      </c>
      <c r="AG37" s="610">
        <f t="shared" si="4"/>
        <v>47500</v>
      </c>
      <c r="AH37" s="287">
        <f t="shared" si="5"/>
        <v>48000</v>
      </c>
      <c r="AI37" s="959">
        <f t="shared" si="6"/>
        <v>48000</v>
      </c>
      <c r="AJ37" s="1454"/>
      <c r="AL37" s="278"/>
      <c r="AM37" s="279"/>
      <c r="AN37" s="280"/>
    </row>
    <row r="38" spans="1:40" s="779" customFormat="1" ht="28.8" x14ac:dyDescent="0.3">
      <c r="A38" s="765"/>
      <c r="B38" s="766"/>
      <c r="C38" s="766"/>
      <c r="D38" s="766"/>
      <c r="E38" s="766"/>
      <c r="F38" s="767"/>
      <c r="G38" s="687"/>
      <c r="H38" s="1448"/>
      <c r="I38" s="1451"/>
      <c r="J38" s="768" t="s">
        <v>160</v>
      </c>
      <c r="K38" s="769"/>
      <c r="L38" s="764"/>
      <c r="M38" s="764"/>
      <c r="N38" s="764"/>
      <c r="O38" s="764"/>
      <c r="P38" s="764"/>
      <c r="Q38" s="764">
        <v>1575</v>
      </c>
      <c r="R38" s="764">
        <v>1575</v>
      </c>
      <c r="S38" s="764">
        <v>1575</v>
      </c>
      <c r="T38" s="764">
        <v>1575</v>
      </c>
      <c r="U38" s="764">
        <v>1575</v>
      </c>
      <c r="V38" s="764">
        <v>1575</v>
      </c>
      <c r="W38" s="770">
        <f t="shared" si="9"/>
        <v>9450</v>
      </c>
      <c r="X38" s="889" t="s">
        <v>950</v>
      </c>
      <c r="Y38" s="772">
        <v>540</v>
      </c>
      <c r="Z38" s="788" t="s">
        <v>463</v>
      </c>
      <c r="AA38" s="772">
        <v>211</v>
      </c>
      <c r="AB38" s="773">
        <v>3503</v>
      </c>
      <c r="AC38" s="785">
        <v>4163</v>
      </c>
      <c r="AD38" s="772">
        <v>11</v>
      </c>
      <c r="AE38" s="867">
        <f t="shared" si="8"/>
        <v>17.5</v>
      </c>
      <c r="AF38" s="867">
        <f t="shared" si="7"/>
        <v>9450</v>
      </c>
      <c r="AG38" s="868">
        <f t="shared" si="4"/>
        <v>0</v>
      </c>
      <c r="AH38" s="869">
        <f t="shared" si="5"/>
        <v>3150</v>
      </c>
      <c r="AI38" s="957">
        <f t="shared" si="6"/>
        <v>6300</v>
      </c>
      <c r="AJ38" s="1454"/>
      <c r="AL38" s="776"/>
      <c r="AM38" s="777"/>
      <c r="AN38" s="778"/>
    </row>
    <row r="39" spans="1:40" s="779" customFormat="1" ht="28.8" x14ac:dyDescent="0.3">
      <c r="A39" s="765"/>
      <c r="B39" s="766"/>
      <c r="C39" s="766"/>
      <c r="D39" s="766"/>
      <c r="E39" s="766"/>
      <c r="F39" s="767"/>
      <c r="G39" s="687"/>
      <c r="H39" s="1448"/>
      <c r="I39" s="1451"/>
      <c r="J39" s="768" t="s">
        <v>160</v>
      </c>
      <c r="K39" s="769"/>
      <c r="L39" s="764"/>
      <c r="M39" s="764"/>
      <c r="N39" s="764"/>
      <c r="O39" s="764"/>
      <c r="P39" s="764"/>
      <c r="Q39" s="764">
        <v>2250</v>
      </c>
      <c r="R39" s="764">
        <v>2250</v>
      </c>
      <c r="S39" s="764">
        <v>2250</v>
      </c>
      <c r="T39" s="764">
        <v>2250</v>
      </c>
      <c r="U39" s="764">
        <v>2250</v>
      </c>
      <c r="V39" s="764">
        <v>2250</v>
      </c>
      <c r="W39" s="770">
        <f t="shared" si="9"/>
        <v>13500</v>
      </c>
      <c r="X39" s="781" t="s">
        <v>462</v>
      </c>
      <c r="Y39" s="772">
        <v>540</v>
      </c>
      <c r="Z39" s="788" t="s">
        <v>463</v>
      </c>
      <c r="AA39" s="772">
        <v>211</v>
      </c>
      <c r="AB39" s="773">
        <v>3552</v>
      </c>
      <c r="AC39" s="785">
        <v>4223</v>
      </c>
      <c r="AD39" s="772">
        <v>11</v>
      </c>
      <c r="AE39" s="867">
        <f t="shared" si="8"/>
        <v>25</v>
      </c>
      <c r="AF39" s="867">
        <f t="shared" si="7"/>
        <v>13500</v>
      </c>
      <c r="AG39" s="868">
        <f t="shared" si="4"/>
        <v>0</v>
      </c>
      <c r="AH39" s="869">
        <f t="shared" si="5"/>
        <v>4500</v>
      </c>
      <c r="AI39" s="957">
        <f t="shared" si="6"/>
        <v>9000</v>
      </c>
      <c r="AJ39" s="1454"/>
      <c r="AL39" s="776"/>
      <c r="AM39" s="777"/>
      <c r="AN39" s="778"/>
    </row>
    <row r="40" spans="1:40" s="779" customFormat="1" ht="30" customHeight="1" thickBot="1" x14ac:dyDescent="0.35">
      <c r="A40" s="765"/>
      <c r="B40" s="766"/>
      <c r="C40" s="766"/>
      <c r="D40" s="766"/>
      <c r="E40" s="766"/>
      <c r="F40" s="767"/>
      <c r="G40" s="687"/>
      <c r="H40" s="1449"/>
      <c r="I40" s="1452"/>
      <c r="J40" s="768" t="s">
        <v>160</v>
      </c>
      <c r="K40" s="769"/>
      <c r="L40" s="764"/>
      <c r="M40" s="764"/>
      <c r="N40" s="764"/>
      <c r="O40" s="764"/>
      <c r="P40" s="764"/>
      <c r="Q40" s="764"/>
      <c r="R40" s="764"/>
      <c r="S40" s="764"/>
      <c r="T40" s="764"/>
      <c r="U40" s="764"/>
      <c r="V40" s="764"/>
      <c r="W40" s="770">
        <f t="shared" si="9"/>
        <v>0</v>
      </c>
      <c r="X40" s="781" t="s">
        <v>467</v>
      </c>
      <c r="Y40" s="772">
        <v>12</v>
      </c>
      <c r="Z40" s="788" t="s">
        <v>463</v>
      </c>
      <c r="AA40" s="772">
        <v>299</v>
      </c>
      <c r="AB40" s="785">
        <v>33025</v>
      </c>
      <c r="AC40" s="785">
        <v>36062</v>
      </c>
      <c r="AD40" s="772">
        <v>11</v>
      </c>
      <c r="AE40" s="867">
        <f t="shared" si="8"/>
        <v>0</v>
      </c>
      <c r="AF40" s="867">
        <f t="shared" si="7"/>
        <v>0</v>
      </c>
      <c r="AG40" s="868">
        <f t="shared" si="4"/>
        <v>0</v>
      </c>
      <c r="AH40" s="869">
        <f t="shared" si="5"/>
        <v>0</v>
      </c>
      <c r="AI40" s="957">
        <f t="shared" si="6"/>
        <v>0</v>
      </c>
      <c r="AJ40" s="1455"/>
      <c r="AL40" s="776"/>
      <c r="AM40" s="777"/>
      <c r="AN40" s="778"/>
    </row>
    <row r="41" spans="1:40" s="779" customFormat="1" ht="28.8" x14ac:dyDescent="0.3">
      <c r="A41" s="765"/>
      <c r="B41" s="766"/>
      <c r="C41" s="766"/>
      <c r="D41" s="766"/>
      <c r="E41" s="766"/>
      <c r="F41" s="767"/>
      <c r="G41" s="687"/>
      <c r="H41" s="1550" t="s">
        <v>956</v>
      </c>
      <c r="I41" s="1442" t="s">
        <v>447</v>
      </c>
      <c r="J41" s="768" t="s">
        <v>160</v>
      </c>
      <c r="K41" s="769"/>
      <c r="L41" s="764"/>
      <c r="M41" s="764">
        <v>1500</v>
      </c>
      <c r="N41" s="764">
        <v>1500</v>
      </c>
      <c r="O41" s="764">
        <v>1500</v>
      </c>
      <c r="P41" s="764">
        <v>1500</v>
      </c>
      <c r="Q41" s="764">
        <v>1500</v>
      </c>
      <c r="R41" s="764">
        <v>1500</v>
      </c>
      <c r="S41" s="764">
        <v>1500</v>
      </c>
      <c r="T41" s="764">
        <v>1500</v>
      </c>
      <c r="U41" s="764">
        <v>1500</v>
      </c>
      <c r="V41" s="764">
        <v>1500</v>
      </c>
      <c r="W41" s="770">
        <f t="shared" ref="W41" si="28">SUM(K41:V41)</f>
        <v>15000</v>
      </c>
      <c r="X41" s="771" t="s">
        <v>946</v>
      </c>
      <c r="Y41" s="772">
        <v>10</v>
      </c>
      <c r="Z41" s="773" t="s">
        <v>461</v>
      </c>
      <c r="AA41" s="772">
        <v>196</v>
      </c>
      <c r="AB41" s="773" t="s">
        <v>451</v>
      </c>
      <c r="AC41" s="774" t="s">
        <v>866</v>
      </c>
      <c r="AD41" s="772">
        <v>11</v>
      </c>
      <c r="AE41" s="286">
        <f t="shared" si="8"/>
        <v>1500</v>
      </c>
      <c r="AF41" s="286">
        <f t="shared" si="7"/>
        <v>15000</v>
      </c>
      <c r="AG41" s="610">
        <f t="shared" si="4"/>
        <v>3000</v>
      </c>
      <c r="AH41" s="287">
        <f t="shared" si="5"/>
        <v>6000</v>
      </c>
      <c r="AI41" s="287">
        <f t="shared" si="6"/>
        <v>6000</v>
      </c>
      <c r="AJ41" s="1445" t="s">
        <v>464</v>
      </c>
      <c r="AK41" s="775"/>
      <c r="AL41" s="776"/>
      <c r="AM41" s="777"/>
      <c r="AN41" s="778"/>
    </row>
    <row r="42" spans="1:40" s="779" customFormat="1" ht="30" customHeight="1" x14ac:dyDescent="0.3">
      <c r="A42" s="765"/>
      <c r="B42" s="766"/>
      <c r="C42" s="766"/>
      <c r="D42" s="766"/>
      <c r="E42" s="766"/>
      <c r="F42" s="767"/>
      <c r="G42" s="687"/>
      <c r="H42" s="1551"/>
      <c r="I42" s="1443"/>
      <c r="J42" s="768" t="s">
        <v>160</v>
      </c>
      <c r="K42" s="769"/>
      <c r="L42" s="764"/>
      <c r="M42" s="764">
        <f>1680+420</f>
        <v>2100</v>
      </c>
      <c r="N42" s="764">
        <v>1680</v>
      </c>
      <c r="O42" s="764">
        <v>1680</v>
      </c>
      <c r="P42" s="764">
        <v>1680</v>
      </c>
      <c r="Q42" s="764">
        <v>1680</v>
      </c>
      <c r="R42" s="764">
        <v>1680</v>
      </c>
      <c r="S42" s="764">
        <v>1680</v>
      </c>
      <c r="T42" s="764">
        <v>1680</v>
      </c>
      <c r="U42" s="764">
        <v>1680</v>
      </c>
      <c r="V42" s="780">
        <v>1000</v>
      </c>
      <c r="W42" s="770">
        <f t="shared" ref="W42:W44" si="29">SUM(K42:V42)</f>
        <v>16540</v>
      </c>
      <c r="X42" s="953" t="s">
        <v>1006</v>
      </c>
      <c r="Y42" s="772">
        <v>7</v>
      </c>
      <c r="Z42" s="773" t="s">
        <v>461</v>
      </c>
      <c r="AA42" s="772">
        <v>133</v>
      </c>
      <c r="AB42" s="773" t="s">
        <v>451</v>
      </c>
      <c r="AC42" s="774" t="s">
        <v>866</v>
      </c>
      <c r="AD42" s="772">
        <v>11</v>
      </c>
      <c r="AE42" s="286">
        <f t="shared" si="8"/>
        <v>2362.8571428571427</v>
      </c>
      <c r="AF42" s="286">
        <f t="shared" si="7"/>
        <v>16540</v>
      </c>
      <c r="AG42" s="610">
        <f t="shared" si="4"/>
        <v>3780</v>
      </c>
      <c r="AH42" s="287">
        <f t="shared" si="5"/>
        <v>6720</v>
      </c>
      <c r="AI42" s="287">
        <f t="shared" si="6"/>
        <v>6040</v>
      </c>
      <c r="AJ42" s="1445"/>
      <c r="AK42" s="775"/>
      <c r="AL42" s="776"/>
      <c r="AM42" s="777"/>
      <c r="AN42" s="778"/>
    </row>
    <row r="43" spans="1:40" s="779" customFormat="1" ht="28.8" x14ac:dyDescent="0.3">
      <c r="A43" s="765"/>
      <c r="B43" s="766"/>
      <c r="C43" s="766"/>
      <c r="D43" s="766"/>
      <c r="E43" s="766"/>
      <c r="F43" s="767"/>
      <c r="G43" s="687"/>
      <c r="H43" s="1551"/>
      <c r="I43" s="1443"/>
      <c r="J43" s="768" t="s">
        <v>160</v>
      </c>
      <c r="K43" s="769"/>
      <c r="L43" s="764"/>
      <c r="M43" s="764">
        <v>840</v>
      </c>
      <c r="N43" s="764">
        <v>840</v>
      </c>
      <c r="O43" s="779">
        <v>840</v>
      </c>
      <c r="P43" s="764">
        <v>840</v>
      </c>
      <c r="Q43" s="764"/>
      <c r="R43" s="764">
        <v>840</v>
      </c>
      <c r="S43" s="764">
        <v>840</v>
      </c>
      <c r="T43" s="764">
        <v>840</v>
      </c>
      <c r="U43" s="764">
        <v>840</v>
      </c>
      <c r="V43" s="780"/>
      <c r="W43" s="770">
        <f t="shared" ref="W43" si="30">SUM(K43:V43)</f>
        <v>6720</v>
      </c>
      <c r="X43" s="782" t="s">
        <v>460</v>
      </c>
      <c r="Y43" s="772">
        <v>7</v>
      </c>
      <c r="Z43" s="773" t="s">
        <v>461</v>
      </c>
      <c r="AA43" s="772">
        <v>133</v>
      </c>
      <c r="AB43" s="773" t="s">
        <v>451</v>
      </c>
      <c r="AC43" s="774" t="s">
        <v>866</v>
      </c>
      <c r="AD43" s="772">
        <v>11</v>
      </c>
      <c r="AE43" s="286">
        <f t="shared" si="8"/>
        <v>960</v>
      </c>
      <c r="AF43" s="286">
        <f t="shared" si="7"/>
        <v>6720</v>
      </c>
      <c r="AG43" s="610">
        <f>SUM($K43:$N43)</f>
        <v>1680</v>
      </c>
      <c r="AH43" s="287">
        <f>SUM($N43:$R43)</f>
        <v>3360</v>
      </c>
      <c r="AI43" s="287">
        <f t="shared" si="6"/>
        <v>2520</v>
      </c>
      <c r="AJ43" s="1445"/>
      <c r="AK43" s="775"/>
      <c r="AL43" s="776"/>
      <c r="AM43" s="777"/>
      <c r="AN43" s="778"/>
    </row>
    <row r="44" spans="1:40" s="779" customFormat="1" ht="28.8" x14ac:dyDescent="0.3">
      <c r="A44" s="765"/>
      <c r="B44" s="766"/>
      <c r="C44" s="766"/>
      <c r="D44" s="766"/>
      <c r="E44" s="766"/>
      <c r="F44" s="767"/>
      <c r="G44" s="687"/>
      <c r="H44" s="1552"/>
      <c r="I44" s="1444"/>
      <c r="J44" s="768" t="s">
        <v>160</v>
      </c>
      <c r="K44" s="769"/>
      <c r="L44" s="764"/>
      <c r="M44" s="764">
        <v>2500</v>
      </c>
      <c r="N44" s="764">
        <v>2500</v>
      </c>
      <c r="O44" s="764">
        <v>2500</v>
      </c>
      <c r="P44" s="764">
        <v>2500</v>
      </c>
      <c r="Q44" s="764">
        <v>2500</v>
      </c>
      <c r="R44" s="764">
        <v>2500</v>
      </c>
      <c r="S44" s="764">
        <v>2500</v>
      </c>
      <c r="T44" s="764">
        <v>2500</v>
      </c>
      <c r="U44" s="764">
        <v>2500</v>
      </c>
      <c r="V44" s="764">
        <v>2500</v>
      </c>
      <c r="W44" s="770">
        <f t="shared" si="29"/>
        <v>25000</v>
      </c>
      <c r="X44" s="783" t="s">
        <v>500</v>
      </c>
      <c r="Y44" s="772">
        <v>200</v>
      </c>
      <c r="Z44" s="784" t="s">
        <v>485</v>
      </c>
      <c r="AA44" s="772">
        <v>262</v>
      </c>
      <c r="AB44" s="785">
        <v>33102</v>
      </c>
      <c r="AC44" s="773">
        <v>36183</v>
      </c>
      <c r="AD44" s="772">
        <v>11</v>
      </c>
      <c r="AE44" s="286">
        <f t="shared" si="8"/>
        <v>125</v>
      </c>
      <c r="AF44" s="286">
        <f t="shared" si="7"/>
        <v>25000</v>
      </c>
      <c r="AG44" s="610">
        <f t="shared" si="4"/>
        <v>5000</v>
      </c>
      <c r="AH44" s="287">
        <f t="shared" si="5"/>
        <v>10000</v>
      </c>
      <c r="AI44" s="287">
        <f t="shared" si="6"/>
        <v>10000</v>
      </c>
      <c r="AJ44" s="1446"/>
      <c r="AK44" s="775"/>
      <c r="AL44" s="776"/>
      <c r="AM44" s="777"/>
      <c r="AN44" s="778"/>
    </row>
    <row r="45" spans="1:40" s="779" customFormat="1" ht="28.8" x14ac:dyDescent="0.3">
      <c r="A45" s="765"/>
      <c r="B45" s="766"/>
      <c r="C45" s="766"/>
      <c r="D45" s="766"/>
      <c r="E45" s="766"/>
      <c r="F45" s="767"/>
      <c r="G45" s="687"/>
      <c r="H45" s="946"/>
      <c r="I45" s="945"/>
      <c r="J45" s="944" t="s">
        <v>160</v>
      </c>
      <c r="K45" s="769"/>
      <c r="L45" s="764"/>
      <c r="M45" s="764">
        <v>196</v>
      </c>
      <c r="N45" s="764"/>
      <c r="O45" s="764"/>
      <c r="P45" s="764"/>
      <c r="Q45" s="764"/>
      <c r="R45" s="764"/>
      <c r="S45" s="764"/>
      <c r="T45" s="764"/>
      <c r="U45" s="764"/>
      <c r="V45" s="764"/>
      <c r="W45" s="770">
        <f t="shared" ref="W45" si="31">SUM(K45:V45)</f>
        <v>196</v>
      </c>
      <c r="X45" s="958" t="s">
        <v>1037</v>
      </c>
      <c r="Y45" s="772">
        <v>200</v>
      </c>
      <c r="Z45" s="784" t="s">
        <v>485</v>
      </c>
      <c r="AA45" s="772">
        <v>211</v>
      </c>
      <c r="AB45" s="785">
        <v>33102</v>
      </c>
      <c r="AC45" s="773">
        <v>36183</v>
      </c>
      <c r="AD45" s="772">
        <v>11</v>
      </c>
      <c r="AE45" s="286">
        <f t="shared" ref="AE45" si="32">W45/Y45</f>
        <v>0.98</v>
      </c>
      <c r="AF45" s="286">
        <f t="shared" ref="AF45" si="33">Y45*AE45</f>
        <v>196</v>
      </c>
      <c r="AG45" s="610">
        <f t="shared" si="4"/>
        <v>196</v>
      </c>
      <c r="AH45" s="287">
        <f t="shared" si="5"/>
        <v>0</v>
      </c>
      <c r="AI45" s="287">
        <f t="shared" si="6"/>
        <v>0</v>
      </c>
      <c r="AJ45" s="947"/>
      <c r="AK45" s="775"/>
      <c r="AL45" s="776"/>
      <c r="AM45" s="777"/>
      <c r="AN45" s="778"/>
    </row>
    <row r="46" spans="1:40" s="779" customFormat="1" ht="57.6" x14ac:dyDescent="0.3">
      <c r="A46" s="765"/>
      <c r="B46" s="766"/>
      <c r="C46" s="766"/>
      <c r="D46" s="766"/>
      <c r="E46" s="766"/>
      <c r="F46" s="767"/>
      <c r="G46" s="687"/>
      <c r="H46" s="786" t="s">
        <v>957</v>
      </c>
      <c r="I46" s="787"/>
      <c r="J46" s="768" t="s">
        <v>160</v>
      </c>
      <c r="K46" s="769"/>
      <c r="L46" s="764"/>
      <c r="M46" s="764"/>
      <c r="N46" s="764"/>
      <c r="O46" s="764">
        <f>5460+3000</f>
        <v>8460</v>
      </c>
      <c r="P46" s="764"/>
      <c r="Q46" s="764"/>
      <c r="R46" s="764"/>
      <c r="S46" s="764"/>
      <c r="T46" s="764"/>
      <c r="U46" s="764"/>
      <c r="V46" s="780"/>
      <c r="W46" s="770">
        <f t="shared" ref="W46:W47" si="34">SUM(K46:V46)</f>
        <v>8460</v>
      </c>
      <c r="X46" s="782" t="s">
        <v>459</v>
      </c>
      <c r="Y46" s="772">
        <f>13*3</f>
        <v>39</v>
      </c>
      <c r="Z46" s="773" t="s">
        <v>463</v>
      </c>
      <c r="AA46" s="772">
        <v>133</v>
      </c>
      <c r="AB46" s="788" t="s">
        <v>451</v>
      </c>
      <c r="AC46" s="774" t="s">
        <v>866</v>
      </c>
      <c r="AD46" s="772">
        <v>11</v>
      </c>
      <c r="AE46" s="286">
        <f t="shared" si="8"/>
        <v>216.92307692307693</v>
      </c>
      <c r="AF46" s="286">
        <f t="shared" si="7"/>
        <v>8460</v>
      </c>
      <c r="AG46" s="610">
        <f t="shared" si="4"/>
        <v>0</v>
      </c>
      <c r="AH46" s="287">
        <f t="shared" si="5"/>
        <v>8460</v>
      </c>
      <c r="AI46" s="287">
        <f t="shared" si="6"/>
        <v>0</v>
      </c>
      <c r="AJ46" s="789" t="s">
        <v>958</v>
      </c>
      <c r="AK46" s="775"/>
      <c r="AL46" s="776"/>
      <c r="AM46" s="777"/>
      <c r="AN46" s="778"/>
    </row>
    <row r="47" spans="1:40" ht="53.25" customHeight="1" x14ac:dyDescent="0.3">
      <c r="A47" s="135"/>
      <c r="B47" s="136"/>
      <c r="C47" s="136"/>
      <c r="D47" s="136"/>
      <c r="E47" s="136"/>
      <c r="F47" s="137"/>
      <c r="G47" s="138"/>
      <c r="H47" s="1541" t="s">
        <v>959</v>
      </c>
      <c r="I47" s="1450" t="s">
        <v>447</v>
      </c>
      <c r="J47" s="679" t="s">
        <v>70</v>
      </c>
      <c r="K47" s="593"/>
      <c r="L47" s="678">
        <v>25</v>
      </c>
      <c r="M47" s="678"/>
      <c r="N47" s="678"/>
      <c r="O47" s="678"/>
      <c r="P47" s="678"/>
      <c r="Q47" s="678"/>
      <c r="R47" s="678"/>
      <c r="S47" s="678"/>
      <c r="T47" s="678"/>
      <c r="U47" s="678"/>
      <c r="V47" s="595">
        <v>50</v>
      </c>
      <c r="W47" s="604">
        <f t="shared" si="34"/>
        <v>75</v>
      </c>
      <c r="X47" s="313"/>
      <c r="Y47" s="283"/>
      <c r="Z47" s="305"/>
      <c r="AA47" s="305"/>
      <c r="AB47" s="305"/>
      <c r="AC47" s="305"/>
      <c r="AD47" s="305"/>
      <c r="AE47" s="286"/>
      <c r="AF47" s="286">
        <f t="shared" si="7"/>
        <v>0</v>
      </c>
      <c r="AG47" s="610">
        <f t="shared" si="4"/>
        <v>25</v>
      </c>
      <c r="AH47" s="287">
        <f t="shared" si="5"/>
        <v>0</v>
      </c>
      <c r="AI47" s="287">
        <f t="shared" si="6"/>
        <v>50</v>
      </c>
      <c r="AJ47" s="1493" t="s">
        <v>961</v>
      </c>
    </row>
    <row r="48" spans="1:40" s="779" customFormat="1" ht="28.8" x14ac:dyDescent="0.3">
      <c r="A48" s="765"/>
      <c r="B48" s="766"/>
      <c r="C48" s="766"/>
      <c r="D48" s="766"/>
      <c r="E48" s="766"/>
      <c r="F48" s="767"/>
      <c r="G48" s="687"/>
      <c r="H48" s="1542"/>
      <c r="I48" s="1452"/>
      <c r="J48" s="768" t="s">
        <v>160</v>
      </c>
      <c r="K48" s="769"/>
      <c r="L48" s="764">
        <v>700</v>
      </c>
      <c r="M48" s="764"/>
      <c r="N48" s="764"/>
      <c r="O48" s="764"/>
      <c r="P48" s="764"/>
      <c r="Q48" s="764"/>
      <c r="S48" s="764"/>
      <c r="T48" s="764"/>
      <c r="V48" s="764">
        <v>3000</v>
      </c>
      <c r="W48" s="770">
        <f>SUM(K48:V48)</f>
        <v>3700</v>
      </c>
      <c r="X48" s="771" t="s">
        <v>947</v>
      </c>
      <c r="Y48" s="772">
        <v>75</v>
      </c>
      <c r="Z48" s="773" t="s">
        <v>461</v>
      </c>
      <c r="AA48" s="772">
        <v>211</v>
      </c>
      <c r="AB48" s="773" t="s">
        <v>451</v>
      </c>
      <c r="AC48" s="774" t="s">
        <v>866</v>
      </c>
      <c r="AD48" s="772">
        <v>11</v>
      </c>
      <c r="AE48" s="867">
        <f t="shared" si="8"/>
        <v>49.333333333333336</v>
      </c>
      <c r="AF48" s="867">
        <f t="shared" si="7"/>
        <v>3700</v>
      </c>
      <c r="AG48" s="868">
        <f>SUM($K48:$O48)</f>
        <v>700</v>
      </c>
      <c r="AH48" s="869">
        <f>SUM($O48:$S48)</f>
        <v>0</v>
      </c>
      <c r="AI48" s="869">
        <f>SUM($S48:$V48)</f>
        <v>3000</v>
      </c>
      <c r="AJ48" s="1440"/>
      <c r="AK48" s="775"/>
      <c r="AL48" s="776"/>
      <c r="AM48" s="777"/>
      <c r="AN48" s="778"/>
    </row>
    <row r="49" spans="1:40" s="779" customFormat="1" ht="27.75" customHeight="1" x14ac:dyDescent="0.3">
      <c r="A49" s="765"/>
      <c r="B49" s="766"/>
      <c r="C49" s="766"/>
      <c r="D49" s="766"/>
      <c r="E49" s="766"/>
      <c r="F49" s="767"/>
      <c r="G49" s="687"/>
      <c r="H49" s="1547" t="s">
        <v>1012</v>
      </c>
      <c r="I49" s="1501"/>
      <c r="J49" s="768" t="s">
        <v>160</v>
      </c>
      <c r="K49" s="769"/>
      <c r="L49" s="764"/>
      <c r="M49" s="764"/>
      <c r="N49" s="764">
        <v>80000</v>
      </c>
      <c r="O49" s="764"/>
      <c r="Q49" s="764">
        <v>10000</v>
      </c>
      <c r="R49" s="764"/>
      <c r="S49" s="764"/>
      <c r="T49" s="764"/>
      <c r="U49" s="764"/>
      <c r="V49" s="780"/>
      <c r="W49" s="770">
        <f t="shared" ref="W49:W54" si="35">SUM(K49:V49)</f>
        <v>90000</v>
      </c>
      <c r="X49" s="891" t="s">
        <v>980</v>
      </c>
      <c r="Y49" s="772">
        <v>1</v>
      </c>
      <c r="Z49" s="892" t="s">
        <v>463</v>
      </c>
      <c r="AA49" s="772">
        <v>113</v>
      </c>
      <c r="AB49" s="798" t="s">
        <v>451</v>
      </c>
      <c r="AC49" s="774" t="s">
        <v>866</v>
      </c>
      <c r="AD49" s="772">
        <v>11</v>
      </c>
      <c r="AE49" s="867">
        <f t="shared" si="8"/>
        <v>90000</v>
      </c>
      <c r="AF49" s="867">
        <f t="shared" si="7"/>
        <v>90000</v>
      </c>
      <c r="AG49" s="868">
        <f>SUM($K49:$Q49)</f>
        <v>90000</v>
      </c>
      <c r="AH49" s="869">
        <f t="shared" si="5"/>
        <v>10000</v>
      </c>
      <c r="AI49" s="869">
        <f t="shared" si="6"/>
        <v>0</v>
      </c>
      <c r="AJ49" s="1464" t="s">
        <v>484</v>
      </c>
      <c r="AL49" s="776"/>
      <c r="AM49" s="777"/>
      <c r="AN49" s="778"/>
    </row>
    <row r="50" spans="1:40" s="779" customFormat="1" ht="56.4" customHeight="1" x14ac:dyDescent="0.3">
      <c r="A50" s="765"/>
      <c r="B50" s="766"/>
      <c r="C50" s="766"/>
      <c r="D50" s="766"/>
      <c r="E50" s="766"/>
      <c r="F50" s="767"/>
      <c r="G50" s="687"/>
      <c r="H50" s="1548"/>
      <c r="I50" s="1501"/>
      <c r="J50" s="768" t="s">
        <v>160</v>
      </c>
      <c r="K50" s="769"/>
      <c r="L50" s="764"/>
      <c r="M50" s="764"/>
      <c r="N50" s="764"/>
      <c r="O50" s="764"/>
      <c r="P50" s="764">
        <v>2000</v>
      </c>
      <c r="Q50" s="764"/>
      <c r="R50" s="764"/>
      <c r="S50" s="764">
        <v>2000</v>
      </c>
      <c r="T50" s="764"/>
      <c r="U50" s="764"/>
      <c r="V50" s="780"/>
      <c r="W50" s="770">
        <f t="shared" ref="W50:W52" si="36">SUM(K50:V50)</f>
        <v>4000</v>
      </c>
      <c r="X50" s="880" t="s">
        <v>975</v>
      </c>
      <c r="Y50" s="772">
        <v>12</v>
      </c>
      <c r="Z50" s="892" t="s">
        <v>463</v>
      </c>
      <c r="AA50" s="772">
        <v>133</v>
      </c>
      <c r="AB50" s="798" t="s">
        <v>451</v>
      </c>
      <c r="AC50" s="774" t="s">
        <v>866</v>
      </c>
      <c r="AD50" s="772">
        <v>11</v>
      </c>
      <c r="AE50" s="867">
        <f t="shared" si="8"/>
        <v>333.33333333333331</v>
      </c>
      <c r="AF50" s="867">
        <f t="shared" si="7"/>
        <v>4000</v>
      </c>
      <c r="AG50" s="868">
        <f t="shared" si="4"/>
        <v>0</v>
      </c>
      <c r="AH50" s="869">
        <f t="shared" si="5"/>
        <v>2000</v>
      </c>
      <c r="AI50" s="869">
        <f t="shared" si="6"/>
        <v>2000</v>
      </c>
      <c r="AJ50" s="1464"/>
      <c r="AL50" s="776"/>
      <c r="AM50" s="777"/>
      <c r="AN50" s="778"/>
    </row>
    <row r="51" spans="1:40" s="779" customFormat="1" ht="23.4" customHeight="1" x14ac:dyDescent="0.3">
      <c r="A51" s="765"/>
      <c r="B51" s="766"/>
      <c r="C51" s="766"/>
      <c r="D51" s="766"/>
      <c r="E51" s="766"/>
      <c r="F51" s="767"/>
      <c r="G51" s="687"/>
      <c r="H51" s="1548"/>
      <c r="I51" s="1501"/>
      <c r="J51" s="923" t="s">
        <v>160</v>
      </c>
      <c r="K51" s="769"/>
      <c r="L51" s="764"/>
      <c r="M51" s="764"/>
      <c r="N51" s="764"/>
      <c r="O51" s="764"/>
      <c r="P51" s="764"/>
      <c r="Q51" s="764"/>
      <c r="R51" s="764"/>
      <c r="S51" s="764"/>
      <c r="T51" s="764"/>
      <c r="U51" s="764"/>
      <c r="V51" s="780"/>
      <c r="W51" s="770">
        <f t="shared" ref="W51" si="37">SUM(K51:V51)</f>
        <v>0</v>
      </c>
      <c r="X51" s="960" t="s">
        <v>1038</v>
      </c>
      <c r="Y51" s="772">
        <v>4</v>
      </c>
      <c r="Z51" s="892" t="s">
        <v>463</v>
      </c>
      <c r="AA51" s="772">
        <v>162</v>
      </c>
      <c r="AB51" s="798" t="s">
        <v>451</v>
      </c>
      <c r="AC51" s="774" t="s">
        <v>866</v>
      </c>
      <c r="AD51" s="772">
        <v>11</v>
      </c>
      <c r="AE51" s="867">
        <f t="shared" ref="AE51" si="38">W51/Y51</f>
        <v>0</v>
      </c>
      <c r="AF51" s="867">
        <f t="shared" ref="AF51" si="39">Y51*AE51</f>
        <v>0</v>
      </c>
      <c r="AG51" s="868">
        <f t="shared" si="4"/>
        <v>0</v>
      </c>
      <c r="AH51" s="869">
        <f t="shared" si="5"/>
        <v>0</v>
      </c>
      <c r="AI51" s="869">
        <f t="shared" si="6"/>
        <v>0</v>
      </c>
      <c r="AJ51" s="1464"/>
      <c r="AL51" s="776"/>
      <c r="AM51" s="777"/>
      <c r="AN51" s="778"/>
    </row>
    <row r="52" spans="1:40" s="894" customFormat="1" ht="27" customHeight="1" x14ac:dyDescent="0.25">
      <c r="A52" s="765"/>
      <c r="B52" s="766"/>
      <c r="C52" s="766"/>
      <c r="D52" s="766"/>
      <c r="E52" s="766"/>
      <c r="F52" s="767"/>
      <c r="G52" s="687"/>
      <c r="H52" s="1548"/>
      <c r="I52" s="1501"/>
      <c r="J52" s="768" t="s">
        <v>160</v>
      </c>
      <c r="K52" s="769"/>
      <c r="L52" s="764"/>
      <c r="M52" s="764"/>
      <c r="N52" s="893">
        <v>5000</v>
      </c>
      <c r="O52" s="890"/>
      <c r="P52" s="890"/>
      <c r="Q52" s="890"/>
      <c r="R52" s="890"/>
      <c r="S52" s="890">
        <v>25000</v>
      </c>
      <c r="T52" s="964"/>
      <c r="U52" s="964"/>
      <c r="V52" s="764"/>
      <c r="W52" s="963">
        <f t="shared" si="36"/>
        <v>30000</v>
      </c>
      <c r="X52" s="895" t="s">
        <v>981</v>
      </c>
      <c r="Y52" s="772">
        <v>167</v>
      </c>
      <c r="Z52" s="892" t="s">
        <v>463</v>
      </c>
      <c r="AA52" s="772">
        <v>158</v>
      </c>
      <c r="AB52" s="798" t="s">
        <v>451</v>
      </c>
      <c r="AC52" s="774" t="s">
        <v>866</v>
      </c>
      <c r="AD52" s="772">
        <v>11</v>
      </c>
      <c r="AE52" s="867">
        <f t="shared" si="8"/>
        <v>179.64071856287424</v>
      </c>
      <c r="AF52" s="867">
        <f t="shared" si="7"/>
        <v>30000</v>
      </c>
      <c r="AG52" s="868">
        <f>SUM($K52:$M52)</f>
        <v>0</v>
      </c>
      <c r="AH52" s="869">
        <f t="shared" si="5"/>
        <v>0</v>
      </c>
      <c r="AI52" s="869">
        <f>SUM($S52:$V52)</f>
        <v>25000</v>
      </c>
      <c r="AJ52" s="1464"/>
      <c r="AL52" s="893"/>
      <c r="AM52" s="896"/>
      <c r="AN52" s="897"/>
    </row>
    <row r="53" spans="1:40" s="779" customFormat="1" ht="27" customHeight="1" x14ac:dyDescent="0.3">
      <c r="A53" s="765"/>
      <c r="B53" s="766"/>
      <c r="C53" s="766"/>
      <c r="D53" s="766"/>
      <c r="E53" s="766"/>
      <c r="F53" s="767"/>
      <c r="G53" s="687"/>
      <c r="H53" s="1548"/>
      <c r="I53" s="1501"/>
      <c r="J53" s="768" t="s">
        <v>160</v>
      </c>
      <c r="K53" s="769"/>
      <c r="L53" s="764"/>
      <c r="M53" s="764"/>
      <c r="N53" s="764"/>
      <c r="O53" s="764"/>
      <c r="P53" s="764">
        <v>800</v>
      </c>
      <c r="Q53" s="764"/>
      <c r="R53" s="764"/>
      <c r="S53" s="764"/>
      <c r="T53" s="764"/>
      <c r="U53" s="764">
        <v>800</v>
      </c>
      <c r="V53" s="780"/>
      <c r="W53" s="770">
        <f t="shared" si="35"/>
        <v>1600</v>
      </c>
      <c r="X53" s="880" t="s">
        <v>974</v>
      </c>
      <c r="Y53" s="772">
        <v>2</v>
      </c>
      <c r="Z53" s="892" t="s">
        <v>463</v>
      </c>
      <c r="AA53" s="772">
        <v>169</v>
      </c>
      <c r="AB53" s="798" t="s">
        <v>451</v>
      </c>
      <c r="AC53" s="774" t="s">
        <v>866</v>
      </c>
      <c r="AD53" s="772">
        <v>11</v>
      </c>
      <c r="AE53" s="867">
        <f t="shared" si="8"/>
        <v>800</v>
      </c>
      <c r="AF53" s="867">
        <f t="shared" si="7"/>
        <v>1600</v>
      </c>
      <c r="AG53" s="868">
        <f t="shared" si="4"/>
        <v>0</v>
      </c>
      <c r="AH53" s="869">
        <f t="shared" si="5"/>
        <v>800</v>
      </c>
      <c r="AI53" s="869">
        <f t="shared" si="6"/>
        <v>800</v>
      </c>
      <c r="AJ53" s="1464"/>
      <c r="AL53" s="776"/>
      <c r="AM53" s="777"/>
      <c r="AN53" s="778"/>
    </row>
    <row r="54" spans="1:40" s="779" customFormat="1" ht="27" customHeight="1" x14ac:dyDescent="0.3">
      <c r="A54" s="765"/>
      <c r="B54" s="766"/>
      <c r="C54" s="766"/>
      <c r="D54" s="766"/>
      <c r="E54" s="766"/>
      <c r="F54" s="767"/>
      <c r="G54" s="687"/>
      <c r="H54" s="1548"/>
      <c r="I54" s="1501"/>
      <c r="J54" s="768" t="s">
        <v>160</v>
      </c>
      <c r="K54" s="769"/>
      <c r="L54" s="764"/>
      <c r="M54" s="764"/>
      <c r="N54" s="764">
        <v>400</v>
      </c>
      <c r="O54" s="764"/>
      <c r="P54" s="764"/>
      <c r="Q54" s="764"/>
      <c r="R54" s="764"/>
      <c r="S54" s="764"/>
      <c r="T54" s="764"/>
      <c r="U54" s="764"/>
      <c r="V54" s="780"/>
      <c r="W54" s="770">
        <f t="shared" si="35"/>
        <v>400</v>
      </c>
      <c r="X54" s="898" t="s">
        <v>479</v>
      </c>
      <c r="Y54" s="772">
        <v>20</v>
      </c>
      <c r="Z54" s="892" t="s">
        <v>463</v>
      </c>
      <c r="AA54" s="772">
        <v>232</v>
      </c>
      <c r="AB54" s="785">
        <v>4657</v>
      </c>
      <c r="AC54" s="798">
        <v>54215</v>
      </c>
      <c r="AD54" s="772">
        <v>11</v>
      </c>
      <c r="AE54" s="867">
        <f t="shared" si="8"/>
        <v>20</v>
      </c>
      <c r="AF54" s="867">
        <f t="shared" si="7"/>
        <v>400</v>
      </c>
      <c r="AG54" s="868">
        <f t="shared" si="4"/>
        <v>400</v>
      </c>
      <c r="AH54" s="869">
        <f t="shared" si="5"/>
        <v>0</v>
      </c>
      <c r="AI54" s="869">
        <f t="shared" si="6"/>
        <v>0</v>
      </c>
      <c r="AJ54" s="1464"/>
      <c r="AL54" s="776"/>
      <c r="AM54" s="777"/>
      <c r="AN54" s="778"/>
    </row>
    <row r="55" spans="1:40" s="779" customFormat="1" ht="71.25" customHeight="1" x14ac:dyDescent="0.3">
      <c r="A55" s="765"/>
      <c r="B55" s="766"/>
      <c r="C55" s="766"/>
      <c r="D55" s="766"/>
      <c r="E55" s="766"/>
      <c r="F55" s="767"/>
      <c r="G55" s="687"/>
      <c r="H55" s="1548"/>
      <c r="I55" s="1501"/>
      <c r="J55" s="768" t="s">
        <v>160</v>
      </c>
      <c r="K55" s="769"/>
      <c r="L55" s="764"/>
      <c r="M55" s="764"/>
      <c r="N55" s="764"/>
      <c r="O55" s="764">
        <v>1300</v>
      </c>
      <c r="P55" s="764">
        <v>875</v>
      </c>
      <c r="Q55" s="764">
        <v>1700</v>
      </c>
      <c r="R55" s="764">
        <v>225</v>
      </c>
      <c r="S55" s="764"/>
      <c r="T55" s="764"/>
      <c r="U55" s="764"/>
      <c r="V55" s="780"/>
      <c r="W55" s="770">
        <f t="shared" ref="W55:W56" si="40">SUM(K55:V55)</f>
        <v>4100</v>
      </c>
      <c r="X55" s="899" t="s">
        <v>478</v>
      </c>
      <c r="Y55" s="772">
        <v>165</v>
      </c>
      <c r="Z55" s="892" t="s">
        <v>463</v>
      </c>
      <c r="AA55" s="772">
        <v>262</v>
      </c>
      <c r="AB55" s="785">
        <v>33102</v>
      </c>
      <c r="AC55" s="773">
        <v>36183</v>
      </c>
      <c r="AD55" s="772">
        <v>11</v>
      </c>
      <c r="AE55" s="867">
        <f t="shared" si="8"/>
        <v>24.848484848484848</v>
      </c>
      <c r="AF55" s="867">
        <f t="shared" si="7"/>
        <v>4100</v>
      </c>
      <c r="AG55" s="868">
        <f t="shared" si="4"/>
        <v>0</v>
      </c>
      <c r="AH55" s="869">
        <f t="shared" si="5"/>
        <v>4100</v>
      </c>
      <c r="AI55" s="869">
        <f t="shared" si="6"/>
        <v>0</v>
      </c>
      <c r="AJ55" s="1464"/>
      <c r="AL55" s="776"/>
      <c r="AM55" s="777"/>
      <c r="AN55" s="778"/>
    </row>
    <row r="56" spans="1:40" s="779" customFormat="1" ht="27" customHeight="1" x14ac:dyDescent="0.3">
      <c r="A56" s="765"/>
      <c r="B56" s="766"/>
      <c r="C56" s="766"/>
      <c r="D56" s="766"/>
      <c r="E56" s="766"/>
      <c r="F56" s="767"/>
      <c r="G56" s="687"/>
      <c r="H56" s="1548"/>
      <c r="I56" s="1501"/>
      <c r="J56" s="768" t="s">
        <v>160</v>
      </c>
      <c r="K56" s="769"/>
      <c r="L56" s="764"/>
      <c r="M56" s="764"/>
      <c r="N56" s="764"/>
      <c r="O56" s="764"/>
      <c r="P56" s="764"/>
      <c r="Q56" s="764"/>
      <c r="R56" s="764"/>
      <c r="S56" s="764"/>
      <c r="T56" s="764"/>
      <c r="U56" s="764"/>
      <c r="V56" s="780"/>
      <c r="W56" s="770">
        <f t="shared" si="40"/>
        <v>0</v>
      </c>
      <c r="X56" s="898" t="s">
        <v>480</v>
      </c>
      <c r="Y56" s="772">
        <v>100</v>
      </c>
      <c r="Z56" s="892" t="s">
        <v>463</v>
      </c>
      <c r="AA56" s="772">
        <v>268</v>
      </c>
      <c r="AB56" s="785">
        <v>119865</v>
      </c>
      <c r="AC56" s="798">
        <v>139717</v>
      </c>
      <c r="AD56" s="772">
        <v>11</v>
      </c>
      <c r="AE56" s="867">
        <f t="shared" si="8"/>
        <v>0</v>
      </c>
      <c r="AF56" s="867">
        <f t="shared" si="7"/>
        <v>0</v>
      </c>
      <c r="AG56" s="868">
        <f t="shared" si="4"/>
        <v>0</v>
      </c>
      <c r="AH56" s="869">
        <f t="shared" si="5"/>
        <v>0</v>
      </c>
      <c r="AI56" s="869">
        <f t="shared" si="6"/>
        <v>0</v>
      </c>
      <c r="AJ56" s="1464"/>
      <c r="AL56" s="776"/>
      <c r="AM56" s="777"/>
      <c r="AN56" s="778"/>
    </row>
    <row r="57" spans="1:40" s="779" customFormat="1" ht="27" customHeight="1" x14ac:dyDescent="0.3">
      <c r="A57" s="765"/>
      <c r="B57" s="766"/>
      <c r="C57" s="766"/>
      <c r="D57" s="766"/>
      <c r="E57" s="766"/>
      <c r="F57" s="767"/>
      <c r="G57" s="687"/>
      <c r="H57" s="1548"/>
      <c r="I57" s="1501"/>
      <c r="J57" s="768" t="s">
        <v>160</v>
      </c>
      <c r="K57" s="769"/>
      <c r="L57" s="764"/>
      <c r="M57" s="764"/>
      <c r="N57" s="764">
        <v>1800</v>
      </c>
      <c r="O57" s="764"/>
      <c r="P57" s="764"/>
      <c r="Q57" s="764"/>
      <c r="R57" s="764"/>
      <c r="S57" s="764"/>
      <c r="T57" s="764"/>
      <c r="U57" s="764"/>
      <c r="V57" s="780"/>
      <c r="W57" s="770">
        <f t="shared" ref="W57:W59" si="41">SUM(K57:V57)</f>
        <v>1800</v>
      </c>
      <c r="X57" s="866" t="s">
        <v>976</v>
      </c>
      <c r="Y57" s="772">
        <v>45</v>
      </c>
      <c r="Z57" s="892" t="s">
        <v>463</v>
      </c>
      <c r="AA57" s="772">
        <v>269</v>
      </c>
      <c r="AB57" s="785">
        <v>36149</v>
      </c>
      <c r="AC57" s="798">
        <v>39696</v>
      </c>
      <c r="AD57" s="772">
        <v>11</v>
      </c>
      <c r="AE57" s="867">
        <f t="shared" si="8"/>
        <v>40</v>
      </c>
      <c r="AF57" s="867">
        <f t="shared" si="7"/>
        <v>1800</v>
      </c>
      <c r="AG57" s="868">
        <f t="shared" si="4"/>
        <v>1800</v>
      </c>
      <c r="AH57" s="869">
        <f t="shared" si="5"/>
        <v>0</v>
      </c>
      <c r="AI57" s="869">
        <f t="shared" si="6"/>
        <v>0</v>
      </c>
      <c r="AJ57" s="1464"/>
      <c r="AL57" s="776"/>
      <c r="AM57" s="777"/>
      <c r="AN57" s="778"/>
    </row>
    <row r="58" spans="1:40" s="779" customFormat="1" ht="27" customHeight="1" x14ac:dyDescent="0.3">
      <c r="A58" s="765"/>
      <c r="B58" s="766"/>
      <c r="C58" s="766"/>
      <c r="D58" s="766"/>
      <c r="E58" s="766"/>
      <c r="F58" s="767"/>
      <c r="G58" s="687"/>
      <c r="H58" s="1548"/>
      <c r="I58" s="1501"/>
      <c r="J58" s="768" t="s">
        <v>160</v>
      </c>
      <c r="K58" s="769"/>
      <c r="L58" s="764"/>
      <c r="M58" s="764"/>
      <c r="N58" s="764">
        <v>2250</v>
      </c>
      <c r="O58" s="764"/>
      <c r="P58" s="764"/>
      <c r="Q58" s="764"/>
      <c r="R58" s="764"/>
      <c r="S58" s="764"/>
      <c r="T58" s="764"/>
      <c r="U58" s="764"/>
      <c r="V58" s="780"/>
      <c r="W58" s="770">
        <f t="shared" si="41"/>
        <v>2250</v>
      </c>
      <c r="X58" s="898" t="s">
        <v>481</v>
      </c>
      <c r="Y58" s="772">
        <v>45</v>
      </c>
      <c r="Z58" s="892" t="s">
        <v>463</v>
      </c>
      <c r="AA58" s="772">
        <v>269</v>
      </c>
      <c r="AB58" s="785">
        <v>5503</v>
      </c>
      <c r="AC58" s="798">
        <v>29036</v>
      </c>
      <c r="AD58" s="772">
        <v>11</v>
      </c>
      <c r="AE58" s="867">
        <f t="shared" si="8"/>
        <v>50</v>
      </c>
      <c r="AF58" s="867">
        <f t="shared" si="7"/>
        <v>2250</v>
      </c>
      <c r="AG58" s="868">
        <f t="shared" si="4"/>
        <v>2250</v>
      </c>
      <c r="AH58" s="869">
        <f t="shared" si="5"/>
        <v>0</v>
      </c>
      <c r="AI58" s="869">
        <f t="shared" si="6"/>
        <v>0</v>
      </c>
      <c r="AJ58" s="1464"/>
      <c r="AL58" s="776"/>
      <c r="AM58" s="777"/>
      <c r="AN58" s="778"/>
    </row>
    <row r="59" spans="1:40" s="779" customFormat="1" ht="27" customHeight="1" x14ac:dyDescent="0.3">
      <c r="A59" s="765"/>
      <c r="B59" s="766"/>
      <c r="C59" s="766"/>
      <c r="D59" s="766"/>
      <c r="E59" s="766"/>
      <c r="F59" s="767"/>
      <c r="G59" s="687"/>
      <c r="H59" s="1548"/>
      <c r="I59" s="1501"/>
      <c r="J59" s="768" t="s">
        <v>160</v>
      </c>
      <c r="K59" s="769"/>
      <c r="L59" s="764"/>
      <c r="M59" s="764"/>
      <c r="N59" s="764">
        <v>2250</v>
      </c>
      <c r="O59" s="764"/>
      <c r="P59" s="764"/>
      <c r="Q59" s="764"/>
      <c r="R59" s="764"/>
      <c r="S59" s="764"/>
      <c r="T59" s="764"/>
      <c r="U59" s="764"/>
      <c r="V59" s="780"/>
      <c r="W59" s="770">
        <f t="shared" si="41"/>
        <v>2250</v>
      </c>
      <c r="X59" s="898" t="s">
        <v>482</v>
      </c>
      <c r="Y59" s="772">
        <v>45</v>
      </c>
      <c r="Z59" s="892" t="s">
        <v>463</v>
      </c>
      <c r="AA59" s="772">
        <v>292</v>
      </c>
      <c r="AB59" s="785">
        <v>28829</v>
      </c>
      <c r="AC59" s="798">
        <v>86381</v>
      </c>
      <c r="AD59" s="772">
        <v>11</v>
      </c>
      <c r="AE59" s="867">
        <f t="shared" si="8"/>
        <v>50</v>
      </c>
      <c r="AF59" s="867">
        <f t="shared" si="7"/>
        <v>2250</v>
      </c>
      <c r="AG59" s="868">
        <f t="shared" si="4"/>
        <v>2250</v>
      </c>
      <c r="AH59" s="869">
        <f t="shared" si="5"/>
        <v>0</v>
      </c>
      <c r="AI59" s="869">
        <f t="shared" si="6"/>
        <v>0</v>
      </c>
      <c r="AJ59" s="1464"/>
      <c r="AL59" s="776"/>
      <c r="AM59" s="777"/>
      <c r="AN59" s="778"/>
    </row>
    <row r="60" spans="1:40" s="779" customFormat="1" ht="27" customHeight="1" x14ac:dyDescent="0.3">
      <c r="A60" s="765"/>
      <c r="B60" s="766"/>
      <c r="C60" s="766"/>
      <c r="D60" s="766"/>
      <c r="E60" s="766"/>
      <c r="F60" s="767"/>
      <c r="G60" s="687"/>
      <c r="H60" s="1548"/>
      <c r="I60" s="1501"/>
      <c r="J60" s="768" t="s">
        <v>160</v>
      </c>
      <c r="K60" s="769"/>
      <c r="L60" s="764"/>
      <c r="M60" s="764"/>
      <c r="N60" s="764">
        <v>1125</v>
      </c>
      <c r="O60" s="764"/>
      <c r="P60" s="764"/>
      <c r="Q60" s="764"/>
      <c r="R60" s="764"/>
      <c r="S60" s="764"/>
      <c r="T60" s="764"/>
      <c r="U60" s="764"/>
      <c r="V60" s="780"/>
      <c r="W60" s="770">
        <f t="shared" ref="W60:W68" si="42">SUM(K60:V60)</f>
        <v>1125</v>
      </c>
      <c r="X60" s="898" t="s">
        <v>483</v>
      </c>
      <c r="Y60" s="772">
        <v>45</v>
      </c>
      <c r="Z60" s="892" t="s">
        <v>463</v>
      </c>
      <c r="AA60" s="772">
        <v>269</v>
      </c>
      <c r="AB60" s="785">
        <v>3659</v>
      </c>
      <c r="AC60" s="798">
        <v>4321</v>
      </c>
      <c r="AD60" s="772">
        <v>11</v>
      </c>
      <c r="AE60" s="867">
        <f t="shared" si="8"/>
        <v>25</v>
      </c>
      <c r="AF60" s="867">
        <f t="shared" si="7"/>
        <v>1125</v>
      </c>
      <c r="AG60" s="868">
        <f t="shared" si="4"/>
        <v>1125</v>
      </c>
      <c r="AH60" s="869">
        <f t="shared" si="5"/>
        <v>0</v>
      </c>
      <c r="AI60" s="869">
        <f t="shared" si="6"/>
        <v>0</v>
      </c>
      <c r="AJ60" s="1464"/>
      <c r="AL60" s="776"/>
      <c r="AM60" s="777"/>
      <c r="AN60" s="778"/>
    </row>
    <row r="61" spans="1:40" ht="29.25" customHeight="1" x14ac:dyDescent="0.3">
      <c r="A61" s="135"/>
      <c r="B61" s="136"/>
      <c r="C61" s="136"/>
      <c r="D61" s="136"/>
      <c r="E61" s="136"/>
      <c r="F61" s="137"/>
      <c r="G61" s="138"/>
      <c r="H61" s="1548"/>
      <c r="I61" s="793"/>
      <c r="J61" s="944" t="s">
        <v>70</v>
      </c>
      <c r="K61" s="794"/>
      <c r="L61" s="794"/>
      <c r="M61" s="794"/>
      <c r="N61" s="802"/>
      <c r="O61" s="865"/>
      <c r="P61" s="794"/>
      <c r="Q61" s="794"/>
      <c r="R61" s="794"/>
      <c r="S61" s="794"/>
      <c r="T61" s="794"/>
      <c r="U61" s="794"/>
      <c r="V61" s="794"/>
      <c r="W61" s="805">
        <f t="shared" si="42"/>
        <v>0</v>
      </c>
      <c r="X61" s="958" t="s">
        <v>1013</v>
      </c>
      <c r="Y61" s="772">
        <v>8</v>
      </c>
      <c r="Z61" s="892" t="s">
        <v>463</v>
      </c>
      <c r="AA61" s="772">
        <v>328</v>
      </c>
      <c r="AB61" s="798"/>
      <c r="AC61" s="774"/>
      <c r="AD61" s="772">
        <v>11</v>
      </c>
      <c r="AE61" s="867">
        <f t="shared" si="8"/>
        <v>0</v>
      </c>
      <c r="AF61" s="867">
        <f t="shared" ref="AF61:AF68" si="43">Y61*AE61</f>
        <v>0</v>
      </c>
      <c r="AG61" s="868">
        <f t="shared" si="4"/>
        <v>0</v>
      </c>
      <c r="AH61" s="869">
        <f t="shared" si="5"/>
        <v>0</v>
      </c>
      <c r="AI61" s="869">
        <f t="shared" si="6"/>
        <v>0</v>
      </c>
      <c r="AJ61" s="1464"/>
      <c r="AK61" s="779"/>
      <c r="AL61" s="776"/>
      <c r="AM61" s="279"/>
      <c r="AN61" s="280"/>
    </row>
    <row r="62" spans="1:40" ht="29.25" customHeight="1" x14ac:dyDescent="0.3">
      <c r="A62" s="135"/>
      <c r="B62" s="136"/>
      <c r="C62" s="136"/>
      <c r="D62" s="136"/>
      <c r="E62" s="136"/>
      <c r="F62" s="137"/>
      <c r="G62" s="138"/>
      <c r="H62" s="1548"/>
      <c r="I62" s="793"/>
      <c r="J62" s="944" t="s">
        <v>70</v>
      </c>
      <c r="K62" s="794"/>
      <c r="L62" s="794"/>
      <c r="M62" s="794"/>
      <c r="N62" s="779"/>
      <c r="O62" s="870"/>
      <c r="P62" s="794"/>
      <c r="Q62" s="794"/>
      <c r="R62" s="794"/>
      <c r="S62" s="794"/>
      <c r="T62" s="794"/>
      <c r="U62" s="794"/>
      <c r="V62" s="794"/>
      <c r="W62" s="805">
        <f t="shared" si="42"/>
        <v>0</v>
      </c>
      <c r="X62" s="961" t="s">
        <v>1017</v>
      </c>
      <c r="Y62" s="772">
        <v>10</v>
      </c>
      <c r="Z62" s="773"/>
      <c r="AA62" s="772"/>
      <c r="AB62" s="798"/>
      <c r="AC62" s="774"/>
      <c r="AD62" s="772">
        <v>11</v>
      </c>
      <c r="AE62" s="867">
        <f t="shared" si="8"/>
        <v>0</v>
      </c>
      <c r="AF62" s="867">
        <f t="shared" si="43"/>
        <v>0</v>
      </c>
      <c r="AG62" s="868">
        <f>SUM($K62:$O62)</f>
        <v>0</v>
      </c>
      <c r="AH62" s="869">
        <f>SUM($O62:$R62)</f>
        <v>0</v>
      </c>
      <c r="AI62" s="869">
        <f t="shared" si="6"/>
        <v>0</v>
      </c>
      <c r="AJ62" s="1464"/>
      <c r="AK62" s="779"/>
      <c r="AL62" s="776"/>
      <c r="AM62" s="279"/>
      <c r="AN62" s="280"/>
    </row>
    <row r="63" spans="1:40" ht="29.25" customHeight="1" x14ac:dyDescent="0.3">
      <c r="A63" s="135"/>
      <c r="B63" s="136"/>
      <c r="C63" s="136"/>
      <c r="D63" s="136"/>
      <c r="E63" s="136"/>
      <c r="F63" s="137"/>
      <c r="G63" s="138"/>
      <c r="H63" s="1548"/>
      <c r="I63" s="793"/>
      <c r="J63" s="944" t="s">
        <v>70</v>
      </c>
      <c r="K63" s="794"/>
      <c r="L63" s="794"/>
      <c r="M63" s="794"/>
      <c r="N63" s="802"/>
      <c r="O63" s="794"/>
      <c r="P63" s="794"/>
      <c r="Q63" s="794"/>
      <c r="R63" s="794"/>
      <c r="S63" s="794"/>
      <c r="T63" s="794"/>
      <c r="U63" s="794"/>
      <c r="V63" s="794"/>
      <c r="W63" s="805">
        <f t="shared" si="42"/>
        <v>0</v>
      </c>
      <c r="X63" s="958" t="s">
        <v>1018</v>
      </c>
      <c r="Y63" s="772">
        <v>120</v>
      </c>
      <c r="Z63" s="773"/>
      <c r="AA63" s="772"/>
      <c r="AB63" s="798"/>
      <c r="AC63" s="774"/>
      <c r="AD63" s="772">
        <v>11</v>
      </c>
      <c r="AE63" s="867"/>
      <c r="AF63" s="867">
        <f t="shared" si="43"/>
        <v>0</v>
      </c>
      <c r="AG63" s="868">
        <f t="shared" si="4"/>
        <v>0</v>
      </c>
      <c r="AH63" s="869">
        <f t="shared" si="5"/>
        <v>0</v>
      </c>
      <c r="AI63" s="869">
        <f t="shared" si="6"/>
        <v>0</v>
      </c>
      <c r="AJ63" s="1464"/>
      <c r="AK63" s="779"/>
      <c r="AL63" s="776"/>
      <c r="AM63" s="279"/>
      <c r="AN63" s="280"/>
    </row>
    <row r="64" spans="1:40" ht="29.25" customHeight="1" x14ac:dyDescent="0.3">
      <c r="A64" s="135"/>
      <c r="B64" s="136"/>
      <c r="C64" s="136"/>
      <c r="D64" s="136"/>
      <c r="E64" s="136"/>
      <c r="F64" s="137"/>
      <c r="G64" s="138"/>
      <c r="H64" s="1548"/>
      <c r="I64" s="793"/>
      <c r="J64" s="944" t="s">
        <v>160</v>
      </c>
      <c r="K64" s="802"/>
      <c r="L64" s="794"/>
      <c r="M64" s="841"/>
      <c r="N64" s="794"/>
      <c r="O64" s="794"/>
      <c r="P64" s="794"/>
      <c r="Q64" s="794"/>
      <c r="R64" s="794"/>
      <c r="S64" s="794"/>
      <c r="T64" s="794"/>
      <c r="U64" s="794"/>
      <c r="V64" s="794"/>
      <c r="W64" s="805">
        <f t="shared" si="42"/>
        <v>0</v>
      </c>
      <c r="X64" s="960" t="s">
        <v>1014</v>
      </c>
      <c r="Y64" s="772">
        <v>3</v>
      </c>
      <c r="Z64" s="877" t="s">
        <v>973</v>
      </c>
      <c r="AA64" s="772">
        <v>328</v>
      </c>
      <c r="AB64" s="798"/>
      <c r="AC64" s="774"/>
      <c r="AD64" s="772">
        <v>11</v>
      </c>
      <c r="AE64" s="867">
        <f t="shared" ref="AE64:AE65" si="44">W64/Y64</f>
        <v>0</v>
      </c>
      <c r="AF64" s="867">
        <f t="shared" si="43"/>
        <v>0</v>
      </c>
      <c r="AG64" s="868">
        <f t="shared" si="4"/>
        <v>0</v>
      </c>
      <c r="AH64" s="869">
        <f t="shared" si="5"/>
        <v>0</v>
      </c>
      <c r="AI64" s="869">
        <f t="shared" si="6"/>
        <v>0</v>
      </c>
      <c r="AJ64" s="1464"/>
      <c r="AK64" s="779"/>
      <c r="AL64" s="776"/>
      <c r="AM64" s="279"/>
      <c r="AN64" s="280"/>
    </row>
    <row r="65" spans="1:40" ht="29.25" customHeight="1" x14ac:dyDescent="0.3">
      <c r="A65" s="135"/>
      <c r="B65" s="136"/>
      <c r="C65" s="136"/>
      <c r="D65" s="136"/>
      <c r="E65" s="136"/>
      <c r="F65" s="137"/>
      <c r="G65" s="138"/>
      <c r="H65" s="1548"/>
      <c r="I65" s="793"/>
      <c r="J65" s="944" t="s">
        <v>160</v>
      </c>
      <c r="K65" s="794"/>
      <c r="L65" s="794"/>
      <c r="M65" s="794"/>
      <c r="N65" s="794"/>
      <c r="O65" s="794"/>
      <c r="P65" s="794"/>
      <c r="Q65" s="794"/>
      <c r="R65" s="865"/>
      <c r="S65" s="779"/>
      <c r="T65" s="794"/>
      <c r="U65" s="794"/>
      <c r="V65" s="794"/>
      <c r="W65" s="805">
        <f t="shared" si="42"/>
        <v>0</v>
      </c>
      <c r="X65" s="960" t="s">
        <v>1015</v>
      </c>
      <c r="Y65" s="772">
        <v>15</v>
      </c>
      <c r="Z65" s="877" t="s">
        <v>973</v>
      </c>
      <c r="AA65" s="779"/>
      <c r="AB65" s="798"/>
      <c r="AC65" s="774"/>
      <c r="AD65" s="772">
        <v>11</v>
      </c>
      <c r="AE65" s="867">
        <f t="shared" si="44"/>
        <v>0</v>
      </c>
      <c r="AF65" s="867">
        <f t="shared" si="43"/>
        <v>0</v>
      </c>
      <c r="AG65" s="868">
        <f t="shared" si="4"/>
        <v>0</v>
      </c>
      <c r="AH65" s="869">
        <f>SUM($O65:$R65)</f>
        <v>0</v>
      </c>
      <c r="AI65" s="869">
        <f>SUM($R65:$V65)</f>
        <v>0</v>
      </c>
      <c r="AJ65" s="1464"/>
      <c r="AK65" s="779"/>
      <c r="AL65" s="776"/>
      <c r="AM65" s="279"/>
      <c r="AN65" s="280"/>
    </row>
    <row r="66" spans="1:40" ht="29.25" customHeight="1" x14ac:dyDescent="0.3">
      <c r="A66" s="135"/>
      <c r="B66" s="136"/>
      <c r="C66" s="136"/>
      <c r="D66" s="136"/>
      <c r="E66" s="136"/>
      <c r="F66" s="137"/>
      <c r="G66" s="138"/>
      <c r="H66" s="1548"/>
      <c r="I66" s="793"/>
      <c r="J66" s="944" t="s">
        <v>160</v>
      </c>
      <c r="K66" s="794"/>
      <c r="L66" s="794"/>
      <c r="M66" s="794"/>
      <c r="N66" s="794"/>
      <c r="O66" s="794"/>
      <c r="P66" s="794"/>
      <c r="Q66" s="794"/>
      <c r="R66" s="794"/>
      <c r="S66" s="881"/>
      <c r="T66" s="841"/>
      <c r="U66" s="794"/>
      <c r="V66" s="794"/>
      <c r="W66" s="805">
        <f t="shared" si="42"/>
        <v>0</v>
      </c>
      <c r="X66" s="958" t="s">
        <v>977</v>
      </c>
      <c r="Y66" s="772"/>
      <c r="Z66" s="773"/>
      <c r="AA66" s="772"/>
      <c r="AB66" s="798"/>
      <c r="AC66" s="774"/>
      <c r="AD66" s="772"/>
      <c r="AE66" s="867"/>
      <c r="AF66" s="867">
        <f t="shared" si="43"/>
        <v>0</v>
      </c>
      <c r="AG66" s="868">
        <f t="shared" si="4"/>
        <v>0</v>
      </c>
      <c r="AH66" s="869">
        <f t="shared" si="5"/>
        <v>0</v>
      </c>
      <c r="AI66" s="869">
        <f>SUM($S66:$V66)</f>
        <v>0</v>
      </c>
      <c r="AJ66" s="1464"/>
      <c r="AK66" s="779"/>
      <c r="AL66" s="776"/>
      <c r="AM66" s="279"/>
      <c r="AN66" s="280"/>
    </row>
    <row r="67" spans="1:40" ht="29.25" customHeight="1" x14ac:dyDescent="0.3">
      <c r="A67" s="135"/>
      <c r="B67" s="136"/>
      <c r="C67" s="136"/>
      <c r="D67" s="136"/>
      <c r="E67" s="136"/>
      <c r="F67" s="137"/>
      <c r="G67" s="138"/>
      <c r="H67" s="1548"/>
      <c r="I67" s="793"/>
      <c r="J67" s="944" t="s">
        <v>160</v>
      </c>
      <c r="K67" s="794"/>
      <c r="L67" s="794"/>
      <c r="M67" s="794"/>
      <c r="N67" s="794"/>
      <c r="O67" s="794"/>
      <c r="P67" s="794"/>
      <c r="Q67" s="794"/>
      <c r="R67" s="794"/>
      <c r="S67" s="881"/>
      <c r="T67" s="841"/>
      <c r="U67" s="794"/>
      <c r="V67" s="794"/>
      <c r="W67" s="805">
        <f t="shared" si="42"/>
        <v>0</v>
      </c>
      <c r="X67" s="953" t="s">
        <v>1004</v>
      </c>
      <c r="Y67" s="772">
        <v>1</v>
      </c>
      <c r="Z67" s="773"/>
      <c r="AA67" s="772"/>
      <c r="AB67" s="798"/>
      <c r="AC67" s="774"/>
      <c r="AD67" s="772"/>
      <c r="AE67" s="867"/>
      <c r="AF67" s="867">
        <f t="shared" si="43"/>
        <v>0</v>
      </c>
      <c r="AG67" s="868">
        <f t="shared" si="4"/>
        <v>0</v>
      </c>
      <c r="AH67" s="869">
        <f t="shared" si="5"/>
        <v>0</v>
      </c>
      <c r="AI67" s="869">
        <f>SUM($S67:$V67)</f>
        <v>0</v>
      </c>
      <c r="AJ67" s="1464"/>
      <c r="AK67" s="779"/>
      <c r="AL67" s="776"/>
      <c r="AM67" s="279"/>
      <c r="AN67" s="280"/>
    </row>
    <row r="68" spans="1:40" s="779" customFormat="1" ht="28.8" x14ac:dyDescent="0.3">
      <c r="A68" s="765"/>
      <c r="B68" s="766"/>
      <c r="C68" s="766"/>
      <c r="D68" s="766"/>
      <c r="E68" s="766"/>
      <c r="F68" s="767"/>
      <c r="G68" s="687"/>
      <c r="H68" s="1549"/>
      <c r="I68" s="793"/>
      <c r="J68" s="800" t="s">
        <v>160</v>
      </c>
      <c r="K68" s="801"/>
      <c r="L68" s="885"/>
      <c r="M68" s="801"/>
      <c r="N68" s="802"/>
      <c r="O68" s="885"/>
      <c r="P68" s="801">
        <v>0</v>
      </c>
      <c r="Q68" s="801">
        <v>0</v>
      </c>
      <c r="R68" s="801"/>
      <c r="S68" s="801">
        <v>0</v>
      </c>
      <c r="T68" s="801">
        <v>0</v>
      </c>
      <c r="U68" s="801">
        <v>0</v>
      </c>
      <c r="V68" s="801">
        <v>0</v>
      </c>
      <c r="W68" s="805">
        <f t="shared" si="42"/>
        <v>0</v>
      </c>
      <c r="X68" s="960" t="s">
        <v>1016</v>
      </c>
      <c r="Y68" s="772">
        <v>1</v>
      </c>
      <c r="Z68" s="948" t="s">
        <v>868</v>
      </c>
      <c r="AA68" s="772">
        <v>300</v>
      </c>
      <c r="AB68" s="798" t="s">
        <v>451</v>
      </c>
      <c r="AC68" s="948" t="s">
        <v>866</v>
      </c>
      <c r="AD68" s="772">
        <v>11</v>
      </c>
      <c r="AE68" s="867"/>
      <c r="AF68" s="867">
        <f t="shared" si="43"/>
        <v>0</v>
      </c>
      <c r="AG68" s="868">
        <f t="shared" si="4"/>
        <v>0</v>
      </c>
      <c r="AH68" s="869">
        <f t="shared" si="5"/>
        <v>0</v>
      </c>
      <c r="AI68" s="869">
        <f t="shared" si="6"/>
        <v>0</v>
      </c>
      <c r="AJ68" s="1464"/>
      <c r="AL68" s="776"/>
      <c r="AM68" s="777"/>
      <c r="AN68" s="778"/>
    </row>
    <row r="69" spans="1:40" ht="75.75" customHeight="1" x14ac:dyDescent="0.3">
      <c r="A69" s="135"/>
      <c r="B69" s="136"/>
      <c r="C69" s="136"/>
      <c r="D69" s="136"/>
      <c r="E69" s="136"/>
      <c r="F69" s="137"/>
      <c r="G69" s="138"/>
      <c r="H69" s="1465" t="s">
        <v>954</v>
      </c>
      <c r="I69" s="1450"/>
      <c r="J69" s="679" t="s">
        <v>70</v>
      </c>
      <c r="K69" s="601"/>
      <c r="L69" s="601"/>
      <c r="M69" s="601"/>
      <c r="N69" s="601"/>
      <c r="O69" s="601"/>
      <c r="P69" s="601"/>
      <c r="Q69" s="601">
        <v>4</v>
      </c>
      <c r="R69" s="601"/>
      <c r="S69" s="601"/>
      <c r="T69" s="601"/>
      <c r="U69" s="601"/>
      <c r="V69" s="601"/>
      <c r="W69" s="602"/>
      <c r="X69" s="611">
        <v>4</v>
      </c>
      <c r="Y69" s="283"/>
      <c r="Z69" s="284"/>
      <c r="AA69" s="283"/>
      <c r="AB69" s="578"/>
      <c r="AC69" s="579"/>
      <c r="AD69" s="283"/>
      <c r="AE69" s="867"/>
      <c r="AF69" s="867"/>
      <c r="AG69" s="610">
        <f t="shared" si="4"/>
        <v>0</v>
      </c>
      <c r="AH69" s="287">
        <f t="shared" si="5"/>
        <v>4</v>
      </c>
      <c r="AI69" s="287">
        <f t="shared" si="6"/>
        <v>0</v>
      </c>
      <c r="AJ69" s="1494" t="s">
        <v>456</v>
      </c>
      <c r="AL69" s="278"/>
      <c r="AM69" s="279"/>
      <c r="AN69" s="280"/>
    </row>
    <row r="70" spans="1:40" s="779" customFormat="1" ht="75.75" customHeight="1" x14ac:dyDescent="0.3">
      <c r="A70" s="765"/>
      <c r="B70" s="766"/>
      <c r="C70" s="766"/>
      <c r="D70" s="766"/>
      <c r="E70" s="766"/>
      <c r="F70" s="767"/>
      <c r="G70" s="687"/>
      <c r="H70" s="1466"/>
      <c r="I70" s="1452"/>
      <c r="J70" s="800" t="s">
        <v>160</v>
      </c>
      <c r="K70" s="801"/>
      <c r="L70" s="801"/>
      <c r="M70" s="801"/>
      <c r="N70" s="802"/>
      <c r="O70" s="801"/>
      <c r="P70" s="801"/>
      <c r="Q70" s="885">
        <v>28612</v>
      </c>
      <c r="R70" s="885">
        <v>28612</v>
      </c>
      <c r="S70" s="885">
        <v>28612</v>
      </c>
      <c r="T70" s="885">
        <v>28612</v>
      </c>
      <c r="U70" s="885">
        <v>28612</v>
      </c>
      <c r="V70" s="885">
        <v>34738</v>
      </c>
      <c r="W70" s="805">
        <f t="shared" ref="W70" si="45">SUM(K70:V70)</f>
        <v>177798</v>
      </c>
      <c r="X70" s="809" t="s">
        <v>963</v>
      </c>
      <c r="Y70" s="772">
        <v>4</v>
      </c>
      <c r="Z70" s="806" t="s">
        <v>868</v>
      </c>
      <c r="AA70" s="772">
        <v>300</v>
      </c>
      <c r="AB70" s="798" t="s">
        <v>451</v>
      </c>
      <c r="AC70" s="806" t="s">
        <v>866</v>
      </c>
      <c r="AD70" s="772">
        <v>11</v>
      </c>
      <c r="AE70" s="867">
        <f t="shared" si="8"/>
        <v>44449.5</v>
      </c>
      <c r="AF70" s="867">
        <f t="shared" si="7"/>
        <v>177798</v>
      </c>
      <c r="AG70" s="868">
        <f t="shared" si="4"/>
        <v>0</v>
      </c>
      <c r="AH70" s="869">
        <f t="shared" si="5"/>
        <v>57224</v>
      </c>
      <c r="AI70" s="869">
        <f t="shared" si="6"/>
        <v>120574</v>
      </c>
      <c r="AJ70" s="1457"/>
      <c r="AL70" s="776"/>
      <c r="AM70" s="777"/>
      <c r="AN70" s="778"/>
    </row>
    <row r="71" spans="1:40" s="779" customFormat="1" ht="35.25" customHeight="1" x14ac:dyDescent="0.3">
      <c r="A71" s="765"/>
      <c r="B71" s="766"/>
      <c r="C71" s="766"/>
      <c r="D71" s="766"/>
      <c r="E71" s="766"/>
      <c r="F71" s="767"/>
      <c r="G71" s="687"/>
      <c r="H71" s="1547" t="s">
        <v>1035</v>
      </c>
      <c r="I71" s="1442" t="s">
        <v>447</v>
      </c>
      <c r="J71" s="768" t="s">
        <v>160</v>
      </c>
      <c r="K71" s="769"/>
      <c r="L71" s="764"/>
      <c r="M71" s="764"/>
      <c r="N71" s="764"/>
      <c r="O71" s="764"/>
      <c r="P71" s="764"/>
      <c r="Q71" s="764"/>
      <c r="R71" s="764"/>
      <c r="S71" s="764"/>
      <c r="T71" s="764"/>
      <c r="U71" s="764"/>
      <c r="V71" s="780"/>
      <c r="W71" s="770">
        <f t="shared" ref="W71:W74" si="46">SUM(K71:V71)</f>
        <v>0</v>
      </c>
      <c r="X71" s="900" t="s">
        <v>967</v>
      </c>
      <c r="Y71" s="772">
        <v>55</v>
      </c>
      <c r="Z71" s="790" t="s">
        <v>454</v>
      </c>
      <c r="AA71" s="772">
        <v>185</v>
      </c>
      <c r="AB71" s="790">
        <v>110303</v>
      </c>
      <c r="AC71" s="772"/>
      <c r="AD71" s="772">
        <v>11</v>
      </c>
      <c r="AE71" s="867">
        <f t="shared" si="8"/>
        <v>0</v>
      </c>
      <c r="AF71" s="867">
        <f t="shared" si="7"/>
        <v>0</v>
      </c>
      <c r="AG71" s="868">
        <f t="shared" si="4"/>
        <v>0</v>
      </c>
      <c r="AH71" s="869">
        <f t="shared" si="5"/>
        <v>0</v>
      </c>
      <c r="AI71" s="869">
        <f t="shared" si="6"/>
        <v>0</v>
      </c>
      <c r="AJ71" s="1497" t="s">
        <v>951</v>
      </c>
      <c r="AK71" s="901"/>
      <c r="AL71" s="777"/>
      <c r="AM71" s="778"/>
    </row>
    <row r="72" spans="1:40" s="779" customFormat="1" ht="35.25" customHeight="1" x14ac:dyDescent="0.3">
      <c r="A72" s="765"/>
      <c r="B72" s="766"/>
      <c r="C72" s="766"/>
      <c r="D72" s="766"/>
      <c r="E72" s="766"/>
      <c r="F72" s="767"/>
      <c r="G72" s="687"/>
      <c r="H72" s="1548"/>
      <c r="I72" s="1443"/>
      <c r="J72" s="768" t="s">
        <v>160</v>
      </c>
      <c r="K72" s="769"/>
      <c r="L72" s="764"/>
      <c r="M72" s="764"/>
      <c r="N72" s="764"/>
      <c r="O72" s="764"/>
      <c r="P72" s="764"/>
      <c r="Q72" s="764"/>
      <c r="R72" s="764"/>
      <c r="S72" s="764"/>
      <c r="T72" s="764"/>
      <c r="U72" s="764"/>
      <c r="V72" s="780"/>
      <c r="W72" s="770">
        <f t="shared" si="46"/>
        <v>0</v>
      </c>
      <c r="X72" s="900" t="s">
        <v>968</v>
      </c>
      <c r="Y72" s="772">
        <v>18</v>
      </c>
      <c r="Z72" s="790" t="s">
        <v>454</v>
      </c>
      <c r="AA72" s="772">
        <v>185</v>
      </c>
      <c r="AB72" s="790">
        <v>110303</v>
      </c>
      <c r="AC72" s="772"/>
      <c r="AD72" s="772">
        <v>11</v>
      </c>
      <c r="AE72" s="867">
        <f t="shared" si="8"/>
        <v>0</v>
      </c>
      <c r="AF72" s="867">
        <f t="shared" si="7"/>
        <v>0</v>
      </c>
      <c r="AG72" s="868">
        <f t="shared" si="4"/>
        <v>0</v>
      </c>
      <c r="AH72" s="869">
        <f t="shared" si="5"/>
        <v>0</v>
      </c>
      <c r="AI72" s="869">
        <f t="shared" si="6"/>
        <v>0</v>
      </c>
      <c r="AJ72" s="1498"/>
      <c r="AK72" s="901"/>
      <c r="AL72" s="777"/>
      <c r="AM72" s="778"/>
    </row>
    <row r="73" spans="1:40" s="779" customFormat="1" ht="35.25" customHeight="1" x14ac:dyDescent="0.3">
      <c r="A73" s="765"/>
      <c r="B73" s="766"/>
      <c r="C73" s="766"/>
      <c r="D73" s="766"/>
      <c r="E73" s="766"/>
      <c r="F73" s="767"/>
      <c r="G73" s="687"/>
      <c r="H73" s="1548"/>
      <c r="I73" s="1443"/>
      <c r="J73" s="768" t="s">
        <v>160</v>
      </c>
      <c r="K73" s="769"/>
      <c r="L73" s="764"/>
      <c r="M73" s="764"/>
      <c r="N73" s="764"/>
      <c r="O73" s="764"/>
      <c r="P73" s="764"/>
      <c r="Q73" s="764"/>
      <c r="R73" s="764"/>
      <c r="S73" s="764"/>
      <c r="T73" s="764"/>
      <c r="U73" s="764"/>
      <c r="V73" s="780"/>
      <c r="W73" s="770">
        <f t="shared" si="46"/>
        <v>0</v>
      </c>
      <c r="X73" s="900" t="s">
        <v>969</v>
      </c>
      <c r="Y73" s="772">
        <v>33</v>
      </c>
      <c r="Z73" s="790" t="s">
        <v>454</v>
      </c>
      <c r="AA73" s="772">
        <v>185</v>
      </c>
      <c r="AB73" s="790">
        <v>110303</v>
      </c>
      <c r="AC73" s="772"/>
      <c r="AD73" s="772">
        <v>11</v>
      </c>
      <c r="AE73" s="867">
        <f t="shared" si="8"/>
        <v>0</v>
      </c>
      <c r="AF73" s="867">
        <f t="shared" si="7"/>
        <v>0</v>
      </c>
      <c r="AG73" s="868">
        <f t="shared" si="4"/>
        <v>0</v>
      </c>
      <c r="AH73" s="869">
        <f t="shared" si="5"/>
        <v>0</v>
      </c>
      <c r="AI73" s="869">
        <f t="shared" si="6"/>
        <v>0</v>
      </c>
      <c r="AJ73" s="1498"/>
      <c r="AK73" s="901"/>
      <c r="AL73" s="777"/>
      <c r="AM73" s="778"/>
    </row>
    <row r="74" spans="1:40" s="779" customFormat="1" ht="35.25" customHeight="1" x14ac:dyDescent="0.3">
      <c r="A74" s="765"/>
      <c r="B74" s="766"/>
      <c r="C74" s="766"/>
      <c r="D74" s="766"/>
      <c r="E74" s="766"/>
      <c r="F74" s="767"/>
      <c r="G74" s="687"/>
      <c r="H74" s="1548"/>
      <c r="I74" s="1443"/>
      <c r="J74" s="768" t="s">
        <v>160</v>
      </c>
      <c r="K74" s="769"/>
      <c r="L74" s="764"/>
      <c r="M74" s="764"/>
      <c r="O74" s="902"/>
      <c r="Q74" s="764">
        <v>3500</v>
      </c>
      <c r="R74" s="764"/>
      <c r="S74" s="764"/>
      <c r="T74" s="764"/>
      <c r="U74" s="764"/>
      <c r="V74" s="780"/>
      <c r="W74" s="770">
        <f t="shared" si="46"/>
        <v>3500</v>
      </c>
      <c r="X74" s="903" t="s">
        <v>948</v>
      </c>
      <c r="Y74" s="772">
        <v>200</v>
      </c>
      <c r="Z74" s="790" t="s">
        <v>454</v>
      </c>
      <c r="AA74" s="772">
        <v>122</v>
      </c>
      <c r="AB74" s="790">
        <v>110303</v>
      </c>
      <c r="AC74" s="772"/>
      <c r="AD74" s="772">
        <v>11</v>
      </c>
      <c r="AE74" s="867">
        <f t="shared" si="8"/>
        <v>17.5</v>
      </c>
      <c r="AF74" s="867">
        <f t="shared" si="7"/>
        <v>3500</v>
      </c>
      <c r="AG74" s="868">
        <f t="shared" si="4"/>
        <v>0</v>
      </c>
      <c r="AH74" s="869">
        <f t="shared" si="5"/>
        <v>3500</v>
      </c>
      <c r="AI74" s="869">
        <f t="shared" si="6"/>
        <v>0</v>
      </c>
      <c r="AJ74" s="1498"/>
      <c r="AK74" s="901"/>
      <c r="AL74" s="777"/>
      <c r="AM74" s="778"/>
    </row>
    <row r="75" spans="1:40" s="779" customFormat="1" ht="33" customHeight="1" x14ac:dyDescent="0.3">
      <c r="A75" s="765"/>
      <c r="B75" s="766"/>
      <c r="C75" s="766"/>
      <c r="D75" s="766"/>
      <c r="E75" s="766"/>
      <c r="F75" s="767"/>
      <c r="G75" s="687"/>
      <c r="H75" s="1548"/>
      <c r="I75" s="1443"/>
      <c r="J75" s="944" t="s">
        <v>160</v>
      </c>
      <c r="K75" s="769"/>
      <c r="L75" s="769"/>
      <c r="M75" s="769">
        <v>1019</v>
      </c>
      <c r="N75" s="764"/>
      <c r="O75" s="764"/>
      <c r="P75" s="764"/>
      <c r="Q75" s="764"/>
      <c r="R75" s="764"/>
      <c r="S75" s="764"/>
      <c r="T75" s="764"/>
      <c r="U75" s="764"/>
      <c r="V75" s="780"/>
      <c r="W75" s="770">
        <f>SUM(K75:V75)</f>
        <v>1019</v>
      </c>
      <c r="X75" s="962" t="s">
        <v>1036</v>
      </c>
      <c r="Y75" s="772">
        <v>24</v>
      </c>
      <c r="Z75" s="790" t="s">
        <v>454</v>
      </c>
      <c r="AA75" s="772">
        <v>211</v>
      </c>
      <c r="AB75" s="790">
        <v>110303</v>
      </c>
      <c r="AC75" s="772"/>
      <c r="AD75" s="772">
        <v>11</v>
      </c>
      <c r="AE75" s="867">
        <f t="shared" ref="AE75" si="47">W75/Y75</f>
        <v>42.458333333333336</v>
      </c>
      <c r="AF75" s="867">
        <f t="shared" ref="AF75" si="48">Y75*AE75</f>
        <v>1019</v>
      </c>
      <c r="AG75" s="868">
        <f>SUM($K75:$N75)</f>
        <v>1019</v>
      </c>
      <c r="AH75" s="869">
        <f t="shared" si="5"/>
        <v>0</v>
      </c>
      <c r="AI75" s="869">
        <f t="shared" si="6"/>
        <v>0</v>
      </c>
      <c r="AJ75" s="1498"/>
      <c r="AK75" s="901"/>
      <c r="AL75" s="777"/>
      <c r="AM75" s="778"/>
    </row>
    <row r="76" spans="1:40" s="779" customFormat="1" ht="33" customHeight="1" x14ac:dyDescent="0.3">
      <c r="A76" s="765"/>
      <c r="B76" s="766"/>
      <c r="C76" s="766"/>
      <c r="D76" s="766"/>
      <c r="E76" s="766"/>
      <c r="F76" s="767"/>
      <c r="G76" s="687"/>
      <c r="H76" s="1549"/>
      <c r="I76" s="1444"/>
      <c r="J76" s="768" t="s">
        <v>160</v>
      </c>
      <c r="K76" s="769"/>
      <c r="L76" s="769"/>
      <c r="M76" s="841"/>
      <c r="N76" s="764">
        <v>3600</v>
      </c>
      <c r="O76" s="764"/>
      <c r="P76" s="764"/>
      <c r="Q76" s="764"/>
      <c r="R76" s="764"/>
      <c r="S76" s="764"/>
      <c r="T76" s="764"/>
      <c r="U76" s="764"/>
      <c r="V76" s="780"/>
      <c r="W76" s="770">
        <f>SUM(K76:V76)</f>
        <v>3600</v>
      </c>
      <c r="X76" s="903" t="s">
        <v>949</v>
      </c>
      <c r="Y76" s="772">
        <v>24</v>
      </c>
      <c r="Z76" s="790" t="s">
        <v>454</v>
      </c>
      <c r="AA76" s="772">
        <v>122</v>
      </c>
      <c r="AB76" s="790">
        <v>110303</v>
      </c>
      <c r="AC76" s="772"/>
      <c r="AD76" s="772">
        <v>11</v>
      </c>
      <c r="AE76" s="867">
        <f t="shared" si="8"/>
        <v>150</v>
      </c>
      <c r="AF76" s="867">
        <f t="shared" si="7"/>
        <v>3600</v>
      </c>
      <c r="AG76" s="868">
        <f>SUM($K76:$N76)</f>
        <v>3600</v>
      </c>
      <c r="AH76" s="869">
        <f t="shared" si="5"/>
        <v>0</v>
      </c>
      <c r="AI76" s="869">
        <f t="shared" si="6"/>
        <v>0</v>
      </c>
      <c r="AJ76" s="1499"/>
      <c r="AK76" s="901"/>
      <c r="AL76" s="777"/>
      <c r="AM76" s="778"/>
    </row>
    <row r="77" spans="1:40" s="779" customFormat="1" ht="105" customHeight="1" x14ac:dyDescent="0.3">
      <c r="A77" s="765"/>
      <c r="B77" s="766"/>
      <c r="C77" s="766"/>
      <c r="D77" s="766"/>
      <c r="E77" s="766"/>
      <c r="F77" s="767"/>
      <c r="G77" s="687"/>
      <c r="H77" s="904" t="s">
        <v>960</v>
      </c>
      <c r="I77" s="793"/>
      <c r="J77" s="860" t="s">
        <v>160</v>
      </c>
      <c r="K77" s="905"/>
      <c r="L77" s="801"/>
      <c r="M77" s="802"/>
      <c r="N77" s="802"/>
      <c r="O77" s="802"/>
      <c r="P77" s="802"/>
      <c r="Q77" s="885"/>
      <c r="R77" s="885"/>
      <c r="S77" s="885"/>
      <c r="T77" s="885"/>
      <c r="U77" s="885"/>
      <c r="V77" s="885"/>
      <c r="W77" s="770">
        <f t="shared" ref="W77:W83" si="49">SUM(K77:V77)</f>
        <v>0</v>
      </c>
      <c r="X77" s="906" t="s">
        <v>994</v>
      </c>
      <c r="Y77" s="772">
        <v>7</v>
      </c>
      <c r="Z77" s="907" t="s">
        <v>952</v>
      </c>
      <c r="AA77" s="772">
        <v>29</v>
      </c>
      <c r="AB77" s="798" t="s">
        <v>451</v>
      </c>
      <c r="AC77" s="806" t="s">
        <v>866</v>
      </c>
      <c r="AD77" s="772">
        <v>11</v>
      </c>
      <c r="AE77" s="867">
        <f t="shared" si="8"/>
        <v>0</v>
      </c>
      <c r="AF77" s="867">
        <f t="shared" si="7"/>
        <v>0</v>
      </c>
      <c r="AG77" s="868">
        <f t="shared" si="4"/>
        <v>0</v>
      </c>
      <c r="AH77" s="869">
        <f t="shared" si="5"/>
        <v>0</v>
      </c>
      <c r="AI77" s="869">
        <f t="shared" si="6"/>
        <v>0</v>
      </c>
      <c r="AJ77" s="908" t="s">
        <v>953</v>
      </c>
      <c r="AL77" s="776"/>
      <c r="AM77" s="777"/>
      <c r="AN77" s="778"/>
    </row>
    <row r="78" spans="1:40" ht="91.5" customHeight="1" x14ac:dyDescent="0.3">
      <c r="A78" s="135"/>
      <c r="B78" s="136"/>
      <c r="C78" s="136"/>
      <c r="D78" s="136"/>
      <c r="E78" s="136"/>
      <c r="F78" s="137"/>
      <c r="G78" s="138"/>
      <c r="H78" s="1429" t="s">
        <v>955</v>
      </c>
      <c r="I78" s="593"/>
      <c r="J78" s="678" t="s">
        <v>70</v>
      </c>
      <c r="K78" s="682"/>
      <c r="L78" s="601"/>
      <c r="M78" s="686"/>
      <c r="N78" s="686"/>
      <c r="O78" s="686"/>
      <c r="P78" s="686"/>
      <c r="Q78" s="686"/>
      <c r="R78" s="686"/>
      <c r="S78" s="686"/>
      <c r="T78" s="686"/>
      <c r="U78" s="601"/>
      <c r="V78" s="601"/>
      <c r="W78" s="770">
        <f t="shared" si="49"/>
        <v>0</v>
      </c>
      <c r="X78" s="611"/>
      <c r="Y78" s="283"/>
      <c r="Z78" s="284"/>
      <c r="AA78" s="283"/>
      <c r="AB78" s="578"/>
      <c r="AC78" s="579"/>
      <c r="AD78" s="772"/>
      <c r="AE78" s="867" t="e">
        <f t="shared" si="8"/>
        <v>#DIV/0!</v>
      </c>
      <c r="AF78" s="867" t="e">
        <f t="shared" si="7"/>
        <v>#DIV/0!</v>
      </c>
      <c r="AG78" s="610">
        <f t="shared" si="4"/>
        <v>0</v>
      </c>
      <c r="AH78" s="287">
        <f t="shared" si="5"/>
        <v>0</v>
      </c>
      <c r="AI78" s="287">
        <f t="shared" si="6"/>
        <v>0</v>
      </c>
      <c r="AJ78" s="1494" t="s">
        <v>456</v>
      </c>
      <c r="AL78" s="278"/>
      <c r="AM78" s="279"/>
      <c r="AN78" s="280"/>
    </row>
    <row r="79" spans="1:40" ht="91.5" customHeight="1" x14ac:dyDescent="0.3">
      <c r="A79" s="135"/>
      <c r="B79" s="136"/>
      <c r="C79" s="136"/>
      <c r="D79" s="136"/>
      <c r="E79" s="136"/>
      <c r="F79" s="137"/>
      <c r="G79" s="138"/>
      <c r="H79" s="1429"/>
      <c r="I79" s="593"/>
      <c r="J79" s="678" t="s">
        <v>160</v>
      </c>
      <c r="K79" s="683"/>
      <c r="L79" s="603"/>
      <c r="M79" s="599"/>
      <c r="N79" s="599"/>
      <c r="O79" s="599"/>
      <c r="P79" s="599"/>
      <c r="Q79" s="599"/>
      <c r="R79" s="599"/>
      <c r="S79" s="599"/>
      <c r="T79" s="599"/>
      <c r="U79" s="680"/>
      <c r="V79" s="680"/>
      <c r="W79" s="770">
        <f t="shared" si="49"/>
        <v>0</v>
      </c>
      <c r="X79" s="684" t="s">
        <v>945</v>
      </c>
      <c r="Y79" s="283">
        <v>13</v>
      </c>
      <c r="Z79" s="685" t="s">
        <v>448</v>
      </c>
      <c r="AA79" s="283">
        <v>133</v>
      </c>
      <c r="AB79" s="578" t="s">
        <v>451</v>
      </c>
      <c r="AC79" s="613" t="s">
        <v>866</v>
      </c>
      <c r="AD79" s="772">
        <v>11</v>
      </c>
      <c r="AE79" s="867">
        <f t="shared" si="8"/>
        <v>0</v>
      </c>
      <c r="AF79" s="867">
        <f t="shared" si="7"/>
        <v>0</v>
      </c>
      <c r="AG79" s="610">
        <f t="shared" si="4"/>
        <v>0</v>
      </c>
      <c r="AH79" s="287">
        <f t="shared" si="5"/>
        <v>0</v>
      </c>
      <c r="AI79" s="287">
        <f t="shared" si="6"/>
        <v>0</v>
      </c>
      <c r="AJ79" s="1457"/>
      <c r="AL79" s="278"/>
      <c r="AM79" s="279"/>
      <c r="AN79" s="280"/>
    </row>
    <row r="80" spans="1:40" s="779" customFormat="1" ht="105" customHeight="1" x14ac:dyDescent="0.3">
      <c r="A80" s="765"/>
      <c r="B80" s="766"/>
      <c r="C80" s="766"/>
      <c r="D80" s="766"/>
      <c r="E80" s="766"/>
      <c r="F80" s="767"/>
      <c r="G80" s="687"/>
      <c r="H80" s="864" t="s">
        <v>1008</v>
      </c>
      <c r="I80" s="864"/>
      <c r="J80" s="864" t="s">
        <v>160</v>
      </c>
      <c r="K80" s="885"/>
      <c r="L80" s="801"/>
      <c r="M80" s="802">
        <v>840</v>
      </c>
      <c r="N80" s="802"/>
      <c r="O80" s="802"/>
      <c r="P80" s="802">
        <v>420</v>
      </c>
      <c r="Q80" s="885"/>
      <c r="R80" s="885"/>
      <c r="S80" s="885"/>
      <c r="T80" s="885"/>
      <c r="U80" s="885"/>
      <c r="V80" s="885"/>
      <c r="W80" s="796">
        <f t="shared" ref="W80" si="50">SUM(K80:V80)</f>
        <v>1260</v>
      </c>
      <c r="X80" s="954" t="s">
        <v>972</v>
      </c>
      <c r="Y80" s="772">
        <v>1</v>
      </c>
      <c r="Z80" s="941" t="s">
        <v>447</v>
      </c>
      <c r="AA80" s="772">
        <v>133</v>
      </c>
      <c r="AB80" s="798" t="s">
        <v>451</v>
      </c>
      <c r="AC80" s="888" t="s">
        <v>866</v>
      </c>
      <c r="AD80" s="772">
        <v>11</v>
      </c>
      <c r="AE80" s="867">
        <f t="shared" ref="AE80" si="51">W80/Y80</f>
        <v>1260</v>
      </c>
      <c r="AF80" s="867">
        <f t="shared" ref="AF80" si="52">Y80*AE80</f>
        <v>1260</v>
      </c>
      <c r="AG80" s="868">
        <f t="shared" si="4"/>
        <v>840</v>
      </c>
      <c r="AH80" s="869">
        <f t="shared" si="5"/>
        <v>420</v>
      </c>
      <c r="AI80" s="869">
        <f t="shared" si="6"/>
        <v>0</v>
      </c>
      <c r="AJ80" s="955" t="s">
        <v>1007</v>
      </c>
      <c r="AL80" s="776"/>
      <c r="AM80" s="777"/>
      <c r="AN80" s="778"/>
    </row>
    <row r="81" spans="1:40" s="779" customFormat="1" ht="105" customHeight="1" x14ac:dyDescent="0.3">
      <c r="A81" s="765"/>
      <c r="B81" s="766"/>
      <c r="C81" s="766"/>
      <c r="D81" s="766"/>
      <c r="E81" s="766"/>
      <c r="F81" s="767"/>
      <c r="G81" s="687"/>
      <c r="H81" s="864" t="s">
        <v>1000</v>
      </c>
      <c r="I81" s="864"/>
      <c r="J81" s="864" t="s">
        <v>160</v>
      </c>
      <c r="K81" s="885"/>
      <c r="L81" s="801"/>
      <c r="M81" s="802">
        <v>-500000</v>
      </c>
      <c r="N81" s="802"/>
      <c r="O81" s="802"/>
      <c r="P81" s="802"/>
      <c r="Q81" s="885"/>
      <c r="R81" s="885"/>
      <c r="S81" s="885"/>
      <c r="T81" s="885"/>
      <c r="U81" s="885"/>
      <c r="V81" s="885"/>
      <c r="W81" s="796">
        <f t="shared" si="49"/>
        <v>-500000</v>
      </c>
      <c r="X81" s="954" t="s">
        <v>1005</v>
      </c>
      <c r="Y81" s="772"/>
      <c r="Z81" s="941" t="s">
        <v>447</v>
      </c>
      <c r="AA81" s="772"/>
      <c r="AB81" s="798" t="s">
        <v>451</v>
      </c>
      <c r="AC81" s="806" t="s">
        <v>866</v>
      </c>
      <c r="AD81" s="772">
        <v>11</v>
      </c>
      <c r="AE81" s="867" t="e">
        <f t="shared" si="8"/>
        <v>#DIV/0!</v>
      </c>
      <c r="AF81" s="867" t="e">
        <f t="shared" ref="AF81:AF83" si="53">Y81*AE81</f>
        <v>#DIV/0!</v>
      </c>
      <c r="AG81" s="868">
        <f t="shared" si="4"/>
        <v>-500000</v>
      </c>
      <c r="AH81" s="869">
        <f t="shared" si="5"/>
        <v>0</v>
      </c>
      <c r="AI81" s="869">
        <f t="shared" si="6"/>
        <v>0</v>
      </c>
      <c r="AJ81" s="943" t="s">
        <v>999</v>
      </c>
      <c r="AL81" s="776"/>
      <c r="AM81" s="777"/>
      <c r="AN81" s="778"/>
    </row>
    <row r="82" spans="1:40" ht="91.5" customHeight="1" x14ac:dyDescent="0.3">
      <c r="A82" s="135"/>
      <c r="B82" s="136"/>
      <c r="C82" s="136"/>
      <c r="D82" s="136"/>
      <c r="E82" s="136"/>
      <c r="F82" s="137"/>
      <c r="G82" s="138"/>
      <c r="H82" s="1428" t="s">
        <v>1041</v>
      </c>
      <c r="I82" s="863"/>
      <c r="J82" s="863" t="s">
        <v>160</v>
      </c>
      <c r="K82" s="601"/>
      <c r="L82" s="601"/>
      <c r="M82" s="950">
        <f>53951.2+20766</f>
        <v>74717.2</v>
      </c>
      <c r="N82" s="950">
        <f>53951.2+6922</f>
        <v>60873.2</v>
      </c>
      <c r="O82" s="950">
        <f t="shared" ref="O82:P82" si="54">53951.2+6922</f>
        <v>60873.2</v>
      </c>
      <c r="P82" s="950">
        <f t="shared" si="54"/>
        <v>60873.2</v>
      </c>
      <c r="Q82" s="950">
        <f>53951.2+6922+6672</f>
        <v>67545.2</v>
      </c>
      <c r="R82" s="950">
        <f>53951.2+6922</f>
        <v>60873.2</v>
      </c>
      <c r="S82" s="950">
        <f t="shared" ref="S82:U82" si="55">53951.2+6922</f>
        <v>60873.2</v>
      </c>
      <c r="T82" s="950">
        <f t="shared" si="55"/>
        <v>60873.2</v>
      </c>
      <c r="U82" s="950">
        <f t="shared" si="55"/>
        <v>60873.2</v>
      </c>
      <c r="V82" s="950">
        <f>53951.2+6922+8497</f>
        <v>69370.2</v>
      </c>
      <c r="W82" s="796">
        <f t="shared" si="49"/>
        <v>637745</v>
      </c>
      <c r="X82" s="972" t="s">
        <v>1048</v>
      </c>
      <c r="Y82" s="283"/>
      <c r="Z82" s="940" t="s">
        <v>447</v>
      </c>
      <c r="AA82" s="942" t="s">
        <v>998</v>
      </c>
      <c r="AB82" s="798" t="s">
        <v>451</v>
      </c>
      <c r="AC82" s="806" t="s">
        <v>866</v>
      </c>
      <c r="AD82" s="772">
        <v>11</v>
      </c>
      <c r="AE82" s="867" t="e">
        <f t="shared" ref="AE82:AE83" si="56">W82/Y82</f>
        <v>#DIV/0!</v>
      </c>
      <c r="AF82" s="867" t="e">
        <f t="shared" si="53"/>
        <v>#DIV/0!</v>
      </c>
      <c r="AG82" s="610">
        <f>SUM($K82:$M82)</f>
        <v>74717.2</v>
      </c>
      <c r="AH82" s="287">
        <f t="shared" si="5"/>
        <v>250164.8</v>
      </c>
      <c r="AI82" s="287">
        <f t="shared" si="6"/>
        <v>251989.8</v>
      </c>
      <c r="AJ82" s="1456" t="s">
        <v>953</v>
      </c>
      <c r="AL82" s="278"/>
      <c r="AM82" s="279"/>
      <c r="AN82" s="280"/>
    </row>
    <row r="83" spans="1:40" ht="91.5" customHeight="1" thickBot="1" x14ac:dyDescent="0.35">
      <c r="A83" s="135"/>
      <c r="B83" s="136"/>
      <c r="C83" s="136"/>
      <c r="D83" s="136"/>
      <c r="E83" s="136"/>
      <c r="F83" s="137"/>
      <c r="G83" s="138"/>
      <c r="H83" s="1428"/>
      <c r="I83" s="863"/>
      <c r="J83" s="863" t="s">
        <v>160</v>
      </c>
      <c r="K83" s="680"/>
      <c r="L83" s="951"/>
      <c r="M83" s="603"/>
      <c r="N83" s="603"/>
      <c r="O83" s="603"/>
      <c r="P83" s="952">
        <f>[3]Resumen!$D$8-943.62-1115-98233</f>
        <v>1291277.0028842874</v>
      </c>
      <c r="Q83" s="603"/>
      <c r="R83" s="603"/>
      <c r="S83" s="603"/>
      <c r="T83" s="603"/>
      <c r="U83" s="603"/>
      <c r="V83" s="603"/>
      <c r="W83" s="796">
        <f t="shared" si="49"/>
        <v>1291277.0028842874</v>
      </c>
      <c r="X83" s="972" t="s">
        <v>1049</v>
      </c>
      <c r="Y83" s="283"/>
      <c r="Z83" s="940" t="s">
        <v>997</v>
      </c>
      <c r="AB83" s="578" t="s">
        <v>451</v>
      </c>
      <c r="AC83" s="613" t="s">
        <v>866</v>
      </c>
      <c r="AD83" s="772">
        <v>11</v>
      </c>
      <c r="AE83" s="867" t="e">
        <f t="shared" si="56"/>
        <v>#DIV/0!</v>
      </c>
      <c r="AF83" s="867" t="e">
        <f t="shared" si="53"/>
        <v>#DIV/0!</v>
      </c>
      <c r="AG83" s="610">
        <f t="shared" ref="AG83" si="57">SUM($K83:$N83)</f>
        <v>0</v>
      </c>
      <c r="AH83" s="287">
        <f t="shared" ref="AH83" si="58">SUM($O83:$R83)</f>
        <v>1291277.0028842874</v>
      </c>
      <c r="AI83" s="287">
        <f t="shared" ref="AI83" si="59">SUM($S83:$V83)</f>
        <v>0</v>
      </c>
      <c r="AJ83" s="1457"/>
      <c r="AL83" s="278"/>
      <c r="AM83" s="279"/>
      <c r="AN83" s="280"/>
    </row>
    <row r="84" spans="1:40" ht="36" customHeight="1" thickBot="1" x14ac:dyDescent="0.35">
      <c r="A84" s="139">
        <v>60</v>
      </c>
      <c r="B84" s="307">
        <v>0</v>
      </c>
      <c r="C84" s="308">
        <v>0</v>
      </c>
      <c r="D84" s="308">
        <v>1</v>
      </c>
      <c r="E84" s="308">
        <v>0</v>
      </c>
      <c r="F84" s="309">
        <v>0</v>
      </c>
      <c r="G84" s="1557" t="s">
        <v>469</v>
      </c>
      <c r="H84" s="1558"/>
      <c r="I84" s="1571" t="s">
        <v>470</v>
      </c>
      <c r="J84" s="693" t="s">
        <v>70</v>
      </c>
      <c r="K84" s="694">
        <f t="shared" ref="K84:V84" si="60">K86+K97+K115+K127</f>
        <v>524</v>
      </c>
      <c r="L84" s="694">
        <f t="shared" si="60"/>
        <v>753</v>
      </c>
      <c r="M84" s="694">
        <f t="shared" si="60"/>
        <v>2168</v>
      </c>
      <c r="N84" s="694">
        <f t="shared" si="60"/>
        <v>1898</v>
      </c>
      <c r="O84" s="694">
        <f t="shared" si="60"/>
        <v>1708</v>
      </c>
      <c r="P84" s="694">
        <f t="shared" si="60"/>
        <v>1618</v>
      </c>
      <c r="Q84" s="694">
        <f t="shared" si="60"/>
        <v>1558</v>
      </c>
      <c r="R84" s="694">
        <f t="shared" si="60"/>
        <v>1918</v>
      </c>
      <c r="S84" s="694">
        <f t="shared" si="60"/>
        <v>1418</v>
      </c>
      <c r="T84" s="694">
        <f t="shared" si="60"/>
        <v>1818</v>
      </c>
      <c r="U84" s="694">
        <f t="shared" si="60"/>
        <v>1568</v>
      </c>
      <c r="V84" s="694">
        <f t="shared" si="60"/>
        <v>834</v>
      </c>
      <c r="W84" s="695">
        <f t="shared" si="2"/>
        <v>17783</v>
      </c>
      <c r="X84" s="696"/>
      <c r="Y84" s="696"/>
      <c r="Z84" s="696"/>
      <c r="AA84" s="696"/>
      <c r="AB84" s="696"/>
      <c r="AC84" s="696"/>
      <c r="AD84" s="696"/>
      <c r="AE84" s="696"/>
      <c r="AF84" s="696"/>
      <c r="AG84" s="696"/>
      <c r="AH84" s="696"/>
      <c r="AI84" s="696"/>
      <c r="AJ84" s="696"/>
    </row>
    <row r="85" spans="1:40" ht="30.75" customHeight="1" thickBot="1" x14ac:dyDescent="0.35">
      <c r="A85" s="140"/>
      <c r="B85" s="332"/>
      <c r="C85" s="332"/>
      <c r="D85" s="332"/>
      <c r="E85" s="332"/>
      <c r="F85" s="333"/>
      <c r="G85" s="1559"/>
      <c r="H85" s="1558"/>
      <c r="I85" s="1571"/>
      <c r="J85" s="697" t="s">
        <v>160</v>
      </c>
      <c r="K85" s="698">
        <f t="shared" ref="K85:V85" si="61">K87+K98+K116+K128</f>
        <v>462889</v>
      </c>
      <c r="L85" s="698">
        <f t="shared" si="61"/>
        <v>342640</v>
      </c>
      <c r="M85" s="698">
        <f t="shared" si="61"/>
        <v>518214</v>
      </c>
      <c r="N85" s="698">
        <f t="shared" si="61"/>
        <v>530674</v>
      </c>
      <c r="O85" s="698">
        <f t="shared" si="61"/>
        <v>679914</v>
      </c>
      <c r="P85" s="698">
        <f t="shared" si="61"/>
        <v>585674</v>
      </c>
      <c r="Q85" s="698">
        <f t="shared" si="61"/>
        <v>938484</v>
      </c>
      <c r="R85" s="698">
        <f t="shared" si="61"/>
        <v>607820</v>
      </c>
      <c r="S85" s="698">
        <f t="shared" si="61"/>
        <v>612300</v>
      </c>
      <c r="T85" s="698">
        <f t="shared" si="61"/>
        <v>637300</v>
      </c>
      <c r="U85" s="698">
        <f t="shared" si="61"/>
        <v>723540</v>
      </c>
      <c r="V85" s="698">
        <f t="shared" si="61"/>
        <v>761270</v>
      </c>
      <c r="W85" s="699">
        <f>SUM(K85:V85)</f>
        <v>7400719</v>
      </c>
      <c r="X85" s="696"/>
      <c r="Y85" s="696"/>
      <c r="Z85" s="696"/>
      <c r="AA85" s="696"/>
      <c r="AB85" s="696"/>
      <c r="AC85" s="696"/>
      <c r="AD85" s="696"/>
      <c r="AE85" s="696"/>
      <c r="AF85" s="696"/>
      <c r="AG85" s="696"/>
      <c r="AH85" s="696"/>
      <c r="AI85" s="696"/>
      <c r="AJ85" s="696"/>
    </row>
    <row r="86" spans="1:40" ht="48.75" customHeight="1" x14ac:dyDescent="0.3">
      <c r="A86" s="135"/>
      <c r="B86" s="136"/>
      <c r="C86" s="136"/>
      <c r="D86" s="136"/>
      <c r="E86" s="136"/>
      <c r="F86" s="137"/>
      <c r="G86" s="334"/>
      <c r="H86" s="1556" t="s">
        <v>471</v>
      </c>
      <c r="I86" s="1555" t="s">
        <v>470</v>
      </c>
      <c r="J86" s="812" t="s">
        <v>70</v>
      </c>
      <c r="K86" s="813">
        <v>245</v>
      </c>
      <c r="L86" s="813">
        <v>285</v>
      </c>
      <c r="M86" s="813">
        <v>435</v>
      </c>
      <c r="N86" s="813">
        <v>435</v>
      </c>
      <c r="O86" s="813">
        <v>435</v>
      </c>
      <c r="P86" s="813">
        <v>435</v>
      </c>
      <c r="Q86" s="813">
        <v>455</v>
      </c>
      <c r="R86" s="813">
        <v>455</v>
      </c>
      <c r="S86" s="813">
        <v>455</v>
      </c>
      <c r="T86" s="813">
        <v>455</v>
      </c>
      <c r="U86" s="813">
        <v>455</v>
      </c>
      <c r="V86" s="813">
        <v>243</v>
      </c>
      <c r="W86" s="811">
        <f t="shared" si="2"/>
        <v>4788</v>
      </c>
      <c r="X86" s="735"/>
      <c r="Y86" s="735"/>
      <c r="Z86" s="735"/>
      <c r="AA86" s="735"/>
      <c r="AB86" s="735"/>
      <c r="AC86" s="735"/>
      <c r="AD86" s="735"/>
      <c r="AE86" s="735"/>
      <c r="AF86" s="735"/>
      <c r="AG86" s="704">
        <f>SUMIF($J88:$J93,$J$86,AG88:AG93)</f>
        <v>1314</v>
      </c>
      <c r="AH86" s="704">
        <f>SUMIF($J88:$J93,$J$86,AH88:AH93)</f>
        <v>1393</v>
      </c>
      <c r="AI86" s="704">
        <f>SUMIF($J88:$J93,$J$86,AI88:AI93)</f>
        <v>1091</v>
      </c>
      <c r="AJ86" s="1495" t="s">
        <v>507</v>
      </c>
    </row>
    <row r="87" spans="1:40" ht="44.25" customHeight="1" x14ac:dyDescent="0.3">
      <c r="A87" s="135"/>
      <c r="B87" s="136"/>
      <c r="C87" s="136"/>
      <c r="D87" s="136"/>
      <c r="E87" s="136"/>
      <c r="F87" s="137"/>
      <c r="G87" s="335"/>
      <c r="H87" s="1524"/>
      <c r="I87" s="1528"/>
      <c r="J87" s="756" t="s">
        <v>160</v>
      </c>
      <c r="K87" s="757">
        <f t="shared" ref="K87:V87" si="62">SUMIF($J88:$J96,$J$87,K88:K96)</f>
        <v>191571</v>
      </c>
      <c r="L87" s="757">
        <f t="shared" si="62"/>
        <v>135690</v>
      </c>
      <c r="M87" s="757">
        <f t="shared" si="62"/>
        <v>217249</v>
      </c>
      <c r="N87" s="757">
        <f t="shared" si="62"/>
        <v>223432</v>
      </c>
      <c r="O87" s="757">
        <f t="shared" si="62"/>
        <v>240532</v>
      </c>
      <c r="P87" s="757">
        <f t="shared" si="62"/>
        <v>240532</v>
      </c>
      <c r="Q87" s="757">
        <f t="shared" si="62"/>
        <v>385470</v>
      </c>
      <c r="R87" s="757">
        <f t="shared" si="62"/>
        <v>254376</v>
      </c>
      <c r="S87" s="757">
        <f t="shared" si="62"/>
        <v>254376</v>
      </c>
      <c r="T87" s="757">
        <f t="shared" si="62"/>
        <v>254376</v>
      </c>
      <c r="U87" s="757">
        <f t="shared" si="62"/>
        <v>254376</v>
      </c>
      <c r="V87" s="757">
        <f t="shared" si="62"/>
        <v>328847</v>
      </c>
      <c r="W87" s="761">
        <f t="shared" si="2"/>
        <v>2980827</v>
      </c>
      <c r="X87" s="762"/>
      <c r="Y87" s="762"/>
      <c r="Z87" s="762"/>
      <c r="AA87" s="762"/>
      <c r="AB87" s="762"/>
      <c r="AC87" s="762"/>
      <c r="AD87" s="762"/>
      <c r="AE87" s="762"/>
      <c r="AF87" s="762"/>
      <c r="AG87" s="758">
        <f>SUMIF($J88:$J93,$J$87,AG88:AG93)</f>
        <v>767942</v>
      </c>
      <c r="AH87" s="758">
        <f>SUMIF($J88:$J93,$J$87,AH88:AH93)</f>
        <v>1039066</v>
      </c>
      <c r="AI87" s="758">
        <f>SUMIF($J88:$J93,$J$87,AI88:AI93)</f>
        <v>965633</v>
      </c>
      <c r="AJ87" s="1496"/>
    </row>
    <row r="88" spans="1:40" ht="33" customHeight="1" x14ac:dyDescent="0.3">
      <c r="A88" s="135"/>
      <c r="B88" s="136"/>
      <c r="C88" s="136"/>
      <c r="D88" s="136"/>
      <c r="E88" s="136"/>
      <c r="F88" s="137"/>
      <c r="G88" s="336"/>
      <c r="H88" s="1531" t="s">
        <v>475</v>
      </c>
      <c r="I88" s="1431" t="s">
        <v>470</v>
      </c>
      <c r="J88" s="688" t="s">
        <v>70</v>
      </c>
      <c r="K88" s="688">
        <v>310</v>
      </c>
      <c r="L88" s="688">
        <v>326</v>
      </c>
      <c r="M88" s="688">
        <v>350</v>
      </c>
      <c r="N88" s="688">
        <v>328</v>
      </c>
      <c r="O88" s="688">
        <v>361</v>
      </c>
      <c r="P88" s="688">
        <v>351</v>
      </c>
      <c r="Q88" s="688">
        <v>352</v>
      </c>
      <c r="R88" s="688">
        <v>329</v>
      </c>
      <c r="S88" s="688">
        <v>312</v>
      </c>
      <c r="T88" s="688">
        <v>303</v>
      </c>
      <c r="U88" s="688">
        <v>305</v>
      </c>
      <c r="V88" s="688">
        <v>171</v>
      </c>
      <c r="W88" s="759">
        <f t="shared" si="2"/>
        <v>3798</v>
      </c>
      <c r="X88" s="760"/>
      <c r="Y88" s="760"/>
      <c r="Z88" s="760"/>
      <c r="AA88" s="760"/>
      <c r="AB88" s="760"/>
      <c r="AC88" s="760"/>
      <c r="AD88" s="760"/>
      <c r="AE88" s="760"/>
      <c r="AF88" s="760"/>
      <c r="AG88" s="287">
        <f t="shared" ref="AG88:AG96" si="63">SUM($K88:$N88)</f>
        <v>1314</v>
      </c>
      <c r="AH88" s="287">
        <f t="shared" ref="AH88:AH96" si="64">SUM($O88:$R88)</f>
        <v>1393</v>
      </c>
      <c r="AI88" s="287">
        <f t="shared" ref="AI88:AI96" si="65">SUM($S88:$V88)</f>
        <v>1091</v>
      </c>
      <c r="AJ88" s="1500" t="s">
        <v>457</v>
      </c>
    </row>
    <row r="89" spans="1:40" ht="73.5" customHeight="1" x14ac:dyDescent="0.3">
      <c r="A89" s="135"/>
      <c r="B89" s="136"/>
      <c r="C89" s="136"/>
      <c r="D89" s="136"/>
      <c r="E89" s="136"/>
      <c r="F89" s="137"/>
      <c r="G89" s="335"/>
      <c r="H89" s="1531"/>
      <c r="I89" s="1431"/>
      <c r="J89" s="584" t="s">
        <v>160</v>
      </c>
      <c r="K89" s="585">
        <v>191571</v>
      </c>
      <c r="L89" s="586">
        <v>131938</v>
      </c>
      <c r="M89" s="586">
        <v>131938</v>
      </c>
      <c r="N89" s="586">
        <v>131938</v>
      </c>
      <c r="O89" s="586">
        <v>131938</v>
      </c>
      <c r="P89" s="586">
        <v>131938</v>
      </c>
      <c r="Q89" s="586">
        <v>259876</v>
      </c>
      <c r="R89" s="586">
        <v>131938</v>
      </c>
      <c r="S89" s="586">
        <v>131938</v>
      </c>
      <c r="T89" s="586">
        <v>131938</v>
      </c>
      <c r="U89" s="586">
        <v>131938</v>
      </c>
      <c r="V89" s="587">
        <v>203443</v>
      </c>
      <c r="W89" s="588">
        <f t="shared" ref="W89:W91" si="66">SUM(K89:V89)</f>
        <v>1842332</v>
      </c>
      <c r="X89" s="282" t="s">
        <v>450</v>
      </c>
      <c r="Y89" s="283">
        <v>15</v>
      </c>
      <c r="Z89" s="284" t="s">
        <v>447</v>
      </c>
      <c r="AA89" s="285" t="s">
        <v>458</v>
      </c>
      <c r="AB89" s="284" t="s">
        <v>451</v>
      </c>
      <c r="AC89" s="579" t="s">
        <v>866</v>
      </c>
      <c r="AD89" s="283">
        <v>11</v>
      </c>
      <c r="AE89" s="286">
        <f>W89/Y89</f>
        <v>122822.13333333333</v>
      </c>
      <c r="AF89" s="286">
        <f>Y89*AE89</f>
        <v>1842332</v>
      </c>
      <c r="AG89" s="287">
        <f t="shared" si="63"/>
        <v>587385</v>
      </c>
      <c r="AH89" s="287">
        <f t="shared" si="64"/>
        <v>655690</v>
      </c>
      <c r="AI89" s="287">
        <f t="shared" si="65"/>
        <v>599257</v>
      </c>
      <c r="AJ89" s="1500"/>
    </row>
    <row r="90" spans="1:40" s="779" customFormat="1" ht="33.75" customHeight="1" x14ac:dyDescent="0.3">
      <c r="A90" s="765"/>
      <c r="B90" s="766"/>
      <c r="C90" s="766"/>
      <c r="D90" s="766"/>
      <c r="E90" s="766"/>
      <c r="F90" s="767"/>
      <c r="G90" s="335"/>
      <c r="H90" s="1531"/>
      <c r="I90" s="1431"/>
      <c r="J90" s="768" t="s">
        <v>160</v>
      </c>
      <c r="K90" s="769"/>
      <c r="L90" s="764"/>
      <c r="M90" s="764"/>
      <c r="N90" s="764"/>
      <c r="O90" s="764"/>
      <c r="P90" s="764"/>
      <c r="Q90" s="764"/>
      <c r="R90" s="764"/>
      <c r="S90" s="764"/>
      <c r="T90" s="764"/>
      <c r="U90" s="764"/>
      <c r="V90" s="764"/>
      <c r="W90" s="770">
        <f>U90+T90+S90+R90+Q90+P90+O90+N90+M90+L90</f>
        <v>0</v>
      </c>
      <c r="X90" s="909"/>
      <c r="Y90" s="772"/>
      <c r="Z90" s="773"/>
      <c r="AA90" s="910"/>
      <c r="AB90" s="773"/>
      <c r="AC90" s="774"/>
      <c r="AD90" s="772"/>
      <c r="AE90" s="867"/>
      <c r="AF90" s="867"/>
      <c r="AG90" s="869">
        <f t="shared" si="63"/>
        <v>0</v>
      </c>
      <c r="AH90" s="869">
        <f t="shared" si="64"/>
        <v>0</v>
      </c>
      <c r="AI90" s="869">
        <f t="shared" si="65"/>
        <v>0</v>
      </c>
      <c r="AJ90" s="1500"/>
    </row>
    <row r="91" spans="1:40" ht="28.8" x14ac:dyDescent="0.3">
      <c r="A91" s="135"/>
      <c r="B91" s="136"/>
      <c r="C91" s="136"/>
      <c r="D91" s="136"/>
      <c r="E91" s="136"/>
      <c r="F91" s="137"/>
      <c r="G91" s="335"/>
      <c r="H91" s="1531"/>
      <c r="I91" s="1431"/>
      <c r="J91" s="584" t="s">
        <v>160</v>
      </c>
      <c r="K91" s="585"/>
      <c r="L91" s="764"/>
      <c r="M91" s="764">
        <v>294</v>
      </c>
      <c r="N91" s="764">
        <v>294</v>
      </c>
      <c r="O91" s="764">
        <v>294</v>
      </c>
      <c r="P91" s="764">
        <v>294</v>
      </c>
      <c r="Q91" s="586">
        <v>294</v>
      </c>
      <c r="R91" s="586">
        <v>294</v>
      </c>
      <c r="S91" s="586">
        <v>294</v>
      </c>
      <c r="T91" s="586">
        <v>294</v>
      </c>
      <c r="U91" s="586">
        <v>294</v>
      </c>
      <c r="V91" s="587">
        <v>294</v>
      </c>
      <c r="W91" s="588">
        <f t="shared" si="66"/>
        <v>2940</v>
      </c>
      <c r="X91" s="851" t="s">
        <v>518</v>
      </c>
      <c r="Y91" s="283">
        <v>10</v>
      </c>
      <c r="Z91" s="284" t="s">
        <v>447</v>
      </c>
      <c r="AA91" s="285">
        <v>133</v>
      </c>
      <c r="AB91" s="284" t="s">
        <v>451</v>
      </c>
      <c r="AC91" s="579" t="s">
        <v>866</v>
      </c>
      <c r="AD91" s="283">
        <v>11</v>
      </c>
      <c r="AE91" s="286">
        <f t="shared" ref="AE91:AE96" si="67">W91/Y91</f>
        <v>294</v>
      </c>
      <c r="AF91" s="286">
        <f t="shared" ref="AF91:AF96" si="68">Y91*AE91</f>
        <v>2940</v>
      </c>
      <c r="AG91" s="287">
        <f t="shared" si="63"/>
        <v>588</v>
      </c>
      <c r="AH91" s="287">
        <f t="shared" si="64"/>
        <v>1176</v>
      </c>
      <c r="AI91" s="287">
        <f t="shared" si="65"/>
        <v>1176</v>
      </c>
      <c r="AJ91" s="1500"/>
    </row>
    <row r="92" spans="1:40" ht="28.8" x14ac:dyDescent="0.3">
      <c r="A92" s="135"/>
      <c r="B92" s="136"/>
      <c r="C92" s="136"/>
      <c r="D92" s="136"/>
      <c r="E92" s="136"/>
      <c r="F92" s="137"/>
      <c r="G92" s="335"/>
      <c r="H92" s="1531"/>
      <c r="I92" s="1431"/>
      <c r="J92" s="584" t="s">
        <v>160</v>
      </c>
      <c r="K92" s="585"/>
      <c r="L92" s="764"/>
      <c r="M92" s="764"/>
      <c r="N92" s="764">
        <v>200</v>
      </c>
      <c r="O92" s="764">
        <v>300</v>
      </c>
      <c r="P92" s="764">
        <v>300</v>
      </c>
      <c r="Q92" s="586">
        <v>300</v>
      </c>
      <c r="R92" s="586">
        <v>300</v>
      </c>
      <c r="S92" s="586">
        <v>300</v>
      </c>
      <c r="T92" s="586">
        <v>300</v>
      </c>
      <c r="U92" s="586">
        <v>300</v>
      </c>
      <c r="V92" s="587">
        <v>300</v>
      </c>
      <c r="W92" s="588">
        <f t="shared" si="2"/>
        <v>2600</v>
      </c>
      <c r="X92" s="851" t="s">
        <v>519</v>
      </c>
      <c r="Y92" s="283">
        <v>26</v>
      </c>
      <c r="Z92" s="607" t="s">
        <v>485</v>
      </c>
      <c r="AA92" s="285">
        <v>262</v>
      </c>
      <c r="AB92" s="580">
        <v>33102</v>
      </c>
      <c r="AC92" s="284">
        <v>36183</v>
      </c>
      <c r="AD92" s="283">
        <v>11</v>
      </c>
      <c r="AE92" s="286">
        <f t="shared" si="67"/>
        <v>100</v>
      </c>
      <c r="AF92" s="286">
        <f t="shared" si="68"/>
        <v>2600</v>
      </c>
      <c r="AG92" s="287">
        <f t="shared" si="63"/>
        <v>200</v>
      </c>
      <c r="AH92" s="287">
        <f t="shared" si="64"/>
        <v>1200</v>
      </c>
      <c r="AI92" s="287">
        <f t="shared" si="65"/>
        <v>1200</v>
      </c>
      <c r="AJ92" s="1438"/>
    </row>
    <row r="93" spans="1:40" ht="92.25" customHeight="1" x14ac:dyDescent="0.3">
      <c r="A93" s="135"/>
      <c r="B93" s="136"/>
      <c r="C93" s="136"/>
      <c r="D93" s="136"/>
      <c r="E93" s="766"/>
      <c r="F93" s="767"/>
      <c r="G93" s="335"/>
      <c r="H93" s="935" t="s">
        <v>517</v>
      </c>
      <c r="I93" s="787" t="s">
        <v>470</v>
      </c>
      <c r="J93" s="768" t="s">
        <v>160</v>
      </c>
      <c r="K93" s="927">
        <f>'[2]183 (2)'!K85-K95-K96</f>
        <v>0</v>
      </c>
      <c r="L93" s="927">
        <f>'[2]183 (2)'!L85-L95-L96</f>
        <v>3752</v>
      </c>
      <c r="M93" s="927">
        <f>'[2]183 (2)'!M85-M95-M96</f>
        <v>85017</v>
      </c>
      <c r="N93" s="927">
        <f>'[2]183 (2)'!N85-N95-N96</f>
        <v>91000</v>
      </c>
      <c r="O93" s="927">
        <f>'[2]183 (2)'!O85-O95-O96</f>
        <v>91000</v>
      </c>
      <c r="P93" s="927">
        <f>'[2]183 (2)'!P85-P95-P96</f>
        <v>91000</v>
      </c>
      <c r="Q93" s="927">
        <f>'[2]183 (2)'!Q85-Q95-Q96</f>
        <v>108000</v>
      </c>
      <c r="R93" s="927">
        <f>'[2]183 (2)'!R85-R95-R96-17000</f>
        <v>91000</v>
      </c>
      <c r="S93" s="927">
        <f>'[2]183 (2)'!S85-S95-S96-17000</f>
        <v>91000</v>
      </c>
      <c r="T93" s="927">
        <f>'[2]183 (2)'!T85-T95-T96-17000</f>
        <v>91000</v>
      </c>
      <c r="U93" s="927">
        <f>'[2]183 (2)'!U85-U95-U96-17000</f>
        <v>91000</v>
      </c>
      <c r="V93" s="927">
        <f>'[2]183 (2)'!V85-V95-V96-17000</f>
        <v>91000</v>
      </c>
      <c r="W93" s="770">
        <f t="shared" si="2"/>
        <v>924769</v>
      </c>
      <c r="X93" s="936" t="s">
        <v>506</v>
      </c>
      <c r="Y93" s="772">
        <v>17</v>
      </c>
      <c r="Z93" s="784" t="s">
        <v>454</v>
      </c>
      <c r="AA93" s="928">
        <v>183</v>
      </c>
      <c r="AB93" s="784" t="s">
        <v>451</v>
      </c>
      <c r="AC93" s="892">
        <v>36183</v>
      </c>
      <c r="AD93" s="772">
        <v>11</v>
      </c>
      <c r="AE93" s="867">
        <f t="shared" si="67"/>
        <v>54398.176470588238</v>
      </c>
      <c r="AF93" s="867">
        <f t="shared" si="68"/>
        <v>924769</v>
      </c>
      <c r="AG93" s="869">
        <f t="shared" si="63"/>
        <v>179769</v>
      </c>
      <c r="AH93" s="869">
        <f t="shared" si="64"/>
        <v>381000</v>
      </c>
      <c r="AI93" s="869">
        <f t="shared" si="65"/>
        <v>364000</v>
      </c>
      <c r="AJ93" s="928" t="s">
        <v>457</v>
      </c>
    </row>
    <row r="94" spans="1:40" ht="119.25" customHeight="1" x14ac:dyDescent="0.3">
      <c r="A94" s="135"/>
      <c r="B94" s="136"/>
      <c r="C94" s="136"/>
      <c r="D94" s="136"/>
      <c r="E94" s="766"/>
      <c r="F94" s="767"/>
      <c r="G94" s="687"/>
      <c r="H94" s="935" t="s">
        <v>936</v>
      </c>
      <c r="I94" s="793"/>
      <c r="J94" s="800" t="s">
        <v>160</v>
      </c>
      <c r="K94" s="801"/>
      <c r="L94" s="801"/>
      <c r="M94" s="801"/>
      <c r="N94" s="802"/>
      <c r="O94" s="801"/>
      <c r="P94" s="801"/>
      <c r="Q94" s="801"/>
      <c r="R94" s="804">
        <v>13844</v>
      </c>
      <c r="S94" s="804">
        <v>13844</v>
      </c>
      <c r="T94" s="804">
        <v>13844</v>
      </c>
      <c r="U94" s="804">
        <v>13844</v>
      </c>
      <c r="V94" s="804">
        <v>16810</v>
      </c>
      <c r="W94" s="805">
        <f t="shared" ref="W94" si="69">SUM(K94:V94)</f>
        <v>72186</v>
      </c>
      <c r="X94" s="809" t="s">
        <v>964</v>
      </c>
      <c r="Y94" s="772">
        <v>2</v>
      </c>
      <c r="Z94" s="806" t="s">
        <v>868</v>
      </c>
      <c r="AA94" s="772">
        <v>300</v>
      </c>
      <c r="AB94" s="798" t="s">
        <v>451</v>
      </c>
      <c r="AC94" s="806" t="s">
        <v>866</v>
      </c>
      <c r="AD94" s="772">
        <v>11</v>
      </c>
      <c r="AE94" s="867">
        <f t="shared" si="67"/>
        <v>36093</v>
      </c>
      <c r="AF94" s="867">
        <f t="shared" si="68"/>
        <v>72186</v>
      </c>
      <c r="AG94" s="869">
        <f t="shared" si="63"/>
        <v>0</v>
      </c>
      <c r="AH94" s="869">
        <f t="shared" si="64"/>
        <v>13844</v>
      </c>
      <c r="AI94" s="869">
        <f t="shared" si="65"/>
        <v>58342</v>
      </c>
      <c r="AJ94" s="937" t="s">
        <v>456</v>
      </c>
      <c r="AL94" s="278"/>
      <c r="AM94" s="279"/>
      <c r="AN94" s="280"/>
    </row>
    <row r="95" spans="1:40" ht="123" customHeight="1" x14ac:dyDescent="0.3">
      <c r="A95" s="135"/>
      <c r="B95" s="136"/>
      <c r="C95" s="136"/>
      <c r="D95" s="136"/>
      <c r="E95" s="766"/>
      <c r="F95" s="767"/>
      <c r="G95" s="687"/>
      <c r="H95" s="935" t="s">
        <v>939</v>
      </c>
      <c r="I95" s="793"/>
      <c r="J95" s="800" t="s">
        <v>160</v>
      </c>
      <c r="K95" s="801"/>
      <c r="L95" s="801"/>
      <c r="M95" s="938"/>
      <c r="N95" s="804"/>
      <c r="O95" s="804">
        <v>8500</v>
      </c>
      <c r="P95" s="804">
        <v>8500</v>
      </c>
      <c r="Q95" s="804">
        <v>8500</v>
      </c>
      <c r="R95" s="804">
        <v>8500</v>
      </c>
      <c r="S95" s="804">
        <v>8500</v>
      </c>
      <c r="T95" s="804">
        <v>8500</v>
      </c>
      <c r="U95" s="804">
        <v>8500</v>
      </c>
      <c r="V95" s="804">
        <v>8500</v>
      </c>
      <c r="W95" s="805">
        <f t="shared" ref="W95" si="70">SUM(K95:V95)</f>
        <v>68000</v>
      </c>
      <c r="X95" s="771" t="s">
        <v>940</v>
      </c>
      <c r="Y95" s="772">
        <v>10</v>
      </c>
      <c r="Z95" s="790" t="s">
        <v>941</v>
      </c>
      <c r="AA95" s="772">
        <v>183</v>
      </c>
      <c r="AB95" s="798" t="s">
        <v>451</v>
      </c>
      <c r="AC95" s="810" t="s">
        <v>866</v>
      </c>
      <c r="AD95" s="772">
        <v>11</v>
      </c>
      <c r="AE95" s="867">
        <f t="shared" si="67"/>
        <v>6800</v>
      </c>
      <c r="AF95" s="867">
        <f t="shared" si="68"/>
        <v>68000</v>
      </c>
      <c r="AG95" s="869">
        <f t="shared" si="63"/>
        <v>0</v>
      </c>
      <c r="AH95" s="869">
        <f t="shared" si="64"/>
        <v>34000</v>
      </c>
      <c r="AI95" s="869">
        <f t="shared" si="65"/>
        <v>34000</v>
      </c>
      <c r="AJ95" s="937" t="s">
        <v>456</v>
      </c>
      <c r="AL95" s="278"/>
      <c r="AM95" s="279"/>
      <c r="AN95" s="280"/>
    </row>
    <row r="96" spans="1:40" ht="99" customHeight="1" x14ac:dyDescent="0.3">
      <c r="A96" s="135"/>
      <c r="B96" s="136"/>
      <c r="C96" s="136"/>
      <c r="D96" s="136"/>
      <c r="E96" s="766"/>
      <c r="F96" s="767"/>
      <c r="G96" s="687"/>
      <c r="H96" s="787" t="s">
        <v>943</v>
      </c>
      <c r="I96" s="860"/>
      <c r="J96" s="800" t="s">
        <v>160</v>
      </c>
      <c r="K96" s="801"/>
      <c r="L96" s="801"/>
      <c r="M96" s="938"/>
      <c r="N96" s="804"/>
      <c r="O96" s="804">
        <v>8500</v>
      </c>
      <c r="P96" s="804">
        <v>8500</v>
      </c>
      <c r="Q96" s="804">
        <v>8500</v>
      </c>
      <c r="R96" s="804">
        <v>8500</v>
      </c>
      <c r="S96" s="804">
        <v>8500</v>
      </c>
      <c r="T96" s="804">
        <v>8500</v>
      </c>
      <c r="U96" s="804">
        <v>8500</v>
      </c>
      <c r="V96" s="804">
        <v>8500</v>
      </c>
      <c r="W96" s="805">
        <f t="shared" ref="W96" si="71">SUM(K96:V96)</f>
        <v>68000</v>
      </c>
      <c r="X96" s="771" t="s">
        <v>940</v>
      </c>
      <c r="Y96" s="772">
        <v>10</v>
      </c>
      <c r="Z96" s="790" t="s">
        <v>941</v>
      </c>
      <c r="AA96" s="772">
        <v>183</v>
      </c>
      <c r="AB96" s="798" t="s">
        <v>451</v>
      </c>
      <c r="AC96" s="810" t="s">
        <v>866</v>
      </c>
      <c r="AD96" s="772">
        <v>11</v>
      </c>
      <c r="AE96" s="867">
        <f t="shared" si="67"/>
        <v>6800</v>
      </c>
      <c r="AF96" s="867">
        <f t="shared" si="68"/>
        <v>68000</v>
      </c>
      <c r="AG96" s="869">
        <f t="shared" si="63"/>
        <v>0</v>
      </c>
      <c r="AH96" s="869">
        <f t="shared" si="64"/>
        <v>34000</v>
      </c>
      <c r="AI96" s="869">
        <f t="shared" si="65"/>
        <v>34000</v>
      </c>
      <c r="AJ96" s="939"/>
      <c r="AL96" s="278"/>
      <c r="AM96" s="279"/>
      <c r="AN96" s="280"/>
    </row>
    <row r="97" spans="1:40" ht="44.25" customHeight="1" x14ac:dyDescent="0.3">
      <c r="A97" s="135"/>
      <c r="B97" s="136"/>
      <c r="C97" s="136"/>
      <c r="D97" s="136"/>
      <c r="E97" s="136"/>
      <c r="F97" s="137"/>
      <c r="G97" s="336"/>
      <c r="H97" s="1523" t="s">
        <v>472</v>
      </c>
      <c r="I97" s="1527" t="s">
        <v>470</v>
      </c>
      <c r="J97" s="814" t="s">
        <v>70</v>
      </c>
      <c r="K97" s="818">
        <v>220</v>
      </c>
      <c r="L97" s="816">
        <v>318</v>
      </c>
      <c r="M97" s="816">
        <v>363</v>
      </c>
      <c r="N97" s="816">
        <v>363</v>
      </c>
      <c r="O97" s="816">
        <v>363</v>
      </c>
      <c r="P97" s="816">
        <v>363</v>
      </c>
      <c r="Q97" s="816">
        <v>363</v>
      </c>
      <c r="R97" s="816">
        <v>363</v>
      </c>
      <c r="S97" s="816">
        <v>363</v>
      </c>
      <c r="T97" s="816">
        <v>363</v>
      </c>
      <c r="U97" s="816">
        <v>363</v>
      </c>
      <c r="V97" s="816">
        <v>224</v>
      </c>
      <c r="W97" s="815">
        <f t="shared" ref="W97:W140" si="72">SUM(K97:V97)</f>
        <v>4029</v>
      </c>
      <c r="X97" s="705"/>
      <c r="Y97" s="706"/>
      <c r="Z97" s="706"/>
      <c r="AA97" s="706"/>
      <c r="AB97" s="706"/>
      <c r="AC97" s="706"/>
      <c r="AD97" s="706"/>
      <c r="AE97" s="706"/>
      <c r="AF97" s="707"/>
      <c r="AG97" s="708">
        <f>SUMIF($J99:$J108,$J$97,AG99:AG108)</f>
        <v>1146</v>
      </c>
      <c r="AH97" s="708">
        <f>SUMIF($J99:$J108,$J$97,AH99:AH108)</f>
        <v>1239</v>
      </c>
      <c r="AI97" s="708">
        <f>SUMIF($J99:$J108,$J$97,AI99:AI108)</f>
        <v>971</v>
      </c>
      <c r="AJ97" s="709"/>
    </row>
    <row r="98" spans="1:40" ht="44.25" customHeight="1" x14ac:dyDescent="0.3">
      <c r="A98" s="135"/>
      <c r="B98" s="136"/>
      <c r="C98" s="136"/>
      <c r="D98" s="136"/>
      <c r="E98" s="136"/>
      <c r="F98" s="137"/>
      <c r="G98" s="335"/>
      <c r="H98" s="1524"/>
      <c r="I98" s="1528"/>
      <c r="J98" s="710" t="s">
        <v>160</v>
      </c>
      <c r="K98" s="711">
        <f>SUMIF($J99:$J114,$J$98,K99:K114)</f>
        <v>183999</v>
      </c>
      <c r="L98" s="711">
        <f t="shared" ref="L98:V98" si="73">SUMIF($J99:$J114,$J$98,L99:L114)</f>
        <v>134186</v>
      </c>
      <c r="M98" s="711">
        <f t="shared" si="73"/>
        <v>162926</v>
      </c>
      <c r="N98" s="711">
        <f t="shared" si="73"/>
        <v>163446</v>
      </c>
      <c r="O98" s="711">
        <f t="shared" si="73"/>
        <v>188946</v>
      </c>
      <c r="P98" s="711">
        <f t="shared" si="73"/>
        <v>188946</v>
      </c>
      <c r="Q98" s="711">
        <f t="shared" si="73"/>
        <v>309112</v>
      </c>
      <c r="R98" s="711">
        <f t="shared" si="73"/>
        <v>185790</v>
      </c>
      <c r="S98" s="711">
        <f t="shared" si="73"/>
        <v>185270</v>
      </c>
      <c r="T98" s="711">
        <f t="shared" si="73"/>
        <v>185270</v>
      </c>
      <c r="U98" s="711">
        <f t="shared" si="73"/>
        <v>185270</v>
      </c>
      <c r="V98" s="711">
        <f t="shared" si="73"/>
        <v>251059</v>
      </c>
      <c r="W98" s="712">
        <f t="shared" si="72"/>
        <v>2324220</v>
      </c>
      <c r="X98" s="713"/>
      <c r="Y98" s="714"/>
      <c r="Z98" s="714"/>
      <c r="AA98" s="714"/>
      <c r="AB98" s="714"/>
      <c r="AC98" s="714"/>
      <c r="AD98" s="714"/>
      <c r="AE98" s="714"/>
      <c r="AF98" s="715"/>
      <c r="AG98" s="716">
        <f>SUMIF($J99:$J108,$J$98,AG99:AG108)</f>
        <v>644557</v>
      </c>
      <c r="AH98" s="716">
        <f>SUMIF($J99:$J108,$J$98,AH99:AH108)</f>
        <v>756950</v>
      </c>
      <c r="AI98" s="716">
        <f>SUMIF($J99:$J108,$J$98,AI99:AI108)</f>
        <v>646527</v>
      </c>
      <c r="AJ98" s="717"/>
    </row>
    <row r="99" spans="1:40" ht="91.5" customHeight="1" x14ac:dyDescent="0.3">
      <c r="A99" s="135"/>
      <c r="B99" s="136"/>
      <c r="C99" s="136"/>
      <c r="D99" s="136"/>
      <c r="E99" s="136"/>
      <c r="F99" s="137"/>
      <c r="G99" s="336"/>
      <c r="H99" s="1531" t="s">
        <v>502</v>
      </c>
      <c r="I99" s="1431" t="s">
        <v>470</v>
      </c>
      <c r="J99" s="584" t="s">
        <v>70</v>
      </c>
      <c r="K99" s="593">
        <v>225</v>
      </c>
      <c r="L99" s="594">
        <v>299</v>
      </c>
      <c r="M99" s="594">
        <v>314</v>
      </c>
      <c r="N99" s="594">
        <v>308</v>
      </c>
      <c r="O99" s="594">
        <v>282</v>
      </c>
      <c r="P99" s="594">
        <v>310</v>
      </c>
      <c r="Q99" s="594">
        <v>328</v>
      </c>
      <c r="R99" s="594">
        <v>319</v>
      </c>
      <c r="S99" s="594">
        <v>287</v>
      </c>
      <c r="T99" s="594">
        <v>298</v>
      </c>
      <c r="U99" s="594">
        <v>274</v>
      </c>
      <c r="V99" s="595">
        <v>112</v>
      </c>
      <c r="W99" s="604">
        <f t="shared" si="72"/>
        <v>3356</v>
      </c>
      <c r="X99" s="605"/>
      <c r="Y99" s="306"/>
      <c r="Z99" s="306"/>
      <c r="AA99" s="306"/>
      <c r="AB99" s="306"/>
      <c r="AC99" s="306"/>
      <c r="AD99" s="306"/>
      <c r="AE99" s="306"/>
      <c r="AF99" s="606"/>
      <c r="AG99" s="287">
        <f t="shared" ref="AG99:AG114" si="74">SUM($K99:$N99)</f>
        <v>1146</v>
      </c>
      <c r="AH99" s="287">
        <f t="shared" ref="AH99:AH114" si="75">SUM($O99:$R99)</f>
        <v>1239</v>
      </c>
      <c r="AI99" s="287">
        <f t="shared" ref="AI99:AI114" si="76">SUM($S99:$V99)</f>
        <v>971</v>
      </c>
      <c r="AJ99" s="615"/>
    </row>
    <row r="100" spans="1:40" ht="91.5" customHeight="1" x14ac:dyDescent="0.3">
      <c r="A100" s="135"/>
      <c r="B100" s="136"/>
      <c r="C100" s="136"/>
      <c r="D100" s="136"/>
      <c r="E100" s="136"/>
      <c r="F100" s="137"/>
      <c r="G100" s="335"/>
      <c r="H100" s="1531"/>
      <c r="I100" s="1431"/>
      <c r="J100" s="584" t="s">
        <v>160</v>
      </c>
      <c r="K100" s="585">
        <v>183999</v>
      </c>
      <c r="L100" s="586">
        <v>123916</v>
      </c>
      <c r="M100" s="586">
        <v>123916</v>
      </c>
      <c r="N100" s="586">
        <v>123916</v>
      </c>
      <c r="O100" s="586">
        <v>123916</v>
      </c>
      <c r="P100" s="586">
        <v>123916</v>
      </c>
      <c r="Q100" s="586">
        <v>244082</v>
      </c>
      <c r="R100" s="586">
        <v>123916</v>
      </c>
      <c r="S100" s="586">
        <v>123916</v>
      </c>
      <c r="T100" s="586">
        <v>123916</v>
      </c>
      <c r="U100" s="586">
        <v>123916</v>
      </c>
      <c r="V100" s="587">
        <v>186999</v>
      </c>
      <c r="W100" s="588">
        <f t="shared" si="72"/>
        <v>1730324</v>
      </c>
      <c r="X100" s="282" t="s">
        <v>450</v>
      </c>
      <c r="Y100" s="283">
        <v>15</v>
      </c>
      <c r="Z100" s="284" t="s">
        <v>447</v>
      </c>
      <c r="AA100" s="285" t="s">
        <v>458</v>
      </c>
      <c r="AB100" s="284" t="s">
        <v>451</v>
      </c>
      <c r="AC100" s="579" t="s">
        <v>866</v>
      </c>
      <c r="AD100" s="283">
        <v>11</v>
      </c>
      <c r="AE100" s="286">
        <f>W100/Y100</f>
        <v>115354.93333333333</v>
      </c>
      <c r="AF100" s="286">
        <f>Y100*AE100</f>
        <v>1730324</v>
      </c>
      <c r="AG100" s="287">
        <f t="shared" si="74"/>
        <v>555747</v>
      </c>
      <c r="AH100" s="287">
        <f t="shared" si="75"/>
        <v>615830</v>
      </c>
      <c r="AI100" s="287">
        <f t="shared" si="76"/>
        <v>558747</v>
      </c>
      <c r="AJ100" s="288" t="s">
        <v>457</v>
      </c>
    </row>
    <row r="101" spans="1:40" ht="152.25" customHeight="1" x14ac:dyDescent="0.3">
      <c r="A101" s="765"/>
      <c r="B101" s="766"/>
      <c r="C101" s="766"/>
      <c r="D101" s="766"/>
      <c r="E101" s="766"/>
      <c r="F101" s="767"/>
      <c r="G101" s="335"/>
      <c r="H101" s="926" t="s">
        <v>503</v>
      </c>
      <c r="I101" s="860" t="s">
        <v>470</v>
      </c>
      <c r="J101" s="768" t="s">
        <v>160</v>
      </c>
      <c r="K101" s="927">
        <f>'[2]029 (2)'!J122-K112-K114</f>
        <v>0</v>
      </c>
      <c r="L101" s="927">
        <f>'[2]029 (2)'!K122-L112-L114</f>
        <v>10270</v>
      </c>
      <c r="M101" s="927">
        <f>'[2]029 (2)'!L122-M112-M114</f>
        <v>38500</v>
      </c>
      <c r="N101" s="927">
        <f>'[2]029 (2)'!M122-N112-N114</f>
        <v>38500</v>
      </c>
      <c r="O101" s="927">
        <f>'[2]029 (2)'!N122-O112-O114</f>
        <v>38500</v>
      </c>
      <c r="P101" s="927">
        <f>'[2]029 (2)'!O122-P112-P114</f>
        <v>38500</v>
      </c>
      <c r="Q101" s="927">
        <f>'[2]029 (2)'!P122-Q112-Q114</f>
        <v>38500</v>
      </c>
      <c r="R101" s="927">
        <f>'[2]029 (2)'!Q122-R112-R114-17000</f>
        <v>21500</v>
      </c>
      <c r="S101" s="927">
        <f>'[2]029 (2)'!R122-S112-S114-17000</f>
        <v>21500</v>
      </c>
      <c r="T101" s="927">
        <f>'[2]029 (2)'!S122-T112-T114-17000</f>
        <v>21500</v>
      </c>
      <c r="U101" s="927">
        <f>'[2]029 (2)'!T122-U112-U114-17000</f>
        <v>21500</v>
      </c>
      <c r="V101" s="927">
        <f>'[2]029 (2)'!U122-V112-V114-17000</f>
        <v>21500</v>
      </c>
      <c r="W101" s="770">
        <f t="shared" si="72"/>
        <v>310270</v>
      </c>
      <c r="X101" s="909" t="s">
        <v>450</v>
      </c>
      <c r="Y101" s="772">
        <v>12</v>
      </c>
      <c r="Z101" s="773" t="s">
        <v>447</v>
      </c>
      <c r="AA101" s="928">
        <v>29</v>
      </c>
      <c r="AB101" s="773" t="s">
        <v>451</v>
      </c>
      <c r="AC101" s="774" t="s">
        <v>866</v>
      </c>
      <c r="AD101" s="772">
        <v>11</v>
      </c>
      <c r="AE101" s="867">
        <f t="shared" ref="AE101:AE114" si="77">W101/Y101</f>
        <v>25855.833333333332</v>
      </c>
      <c r="AF101" s="867">
        <f t="shared" ref="AF101:AF114" si="78">Y101*AE101</f>
        <v>310270</v>
      </c>
      <c r="AG101" s="869">
        <f t="shared" si="74"/>
        <v>87270</v>
      </c>
      <c r="AH101" s="869">
        <f t="shared" si="75"/>
        <v>137000</v>
      </c>
      <c r="AI101" s="869">
        <f t="shared" si="76"/>
        <v>86000</v>
      </c>
      <c r="AJ101" s="912" t="s">
        <v>457</v>
      </c>
      <c r="AK101" s="779"/>
      <c r="AL101" s="779"/>
    </row>
    <row r="102" spans="1:40" ht="140.25" customHeight="1" x14ac:dyDescent="0.3">
      <c r="A102" s="765"/>
      <c r="B102" s="766"/>
      <c r="C102" s="766"/>
      <c r="D102" s="766"/>
      <c r="E102" s="766"/>
      <c r="F102" s="767"/>
      <c r="G102" s="335"/>
      <c r="H102" s="929" t="s">
        <v>501</v>
      </c>
      <c r="I102" s="860" t="s">
        <v>470</v>
      </c>
      <c r="J102" s="768" t="s">
        <v>160</v>
      </c>
      <c r="K102" s="769"/>
      <c r="L102" s="764"/>
      <c r="M102" s="850"/>
      <c r="N102" s="764"/>
      <c r="O102" s="764"/>
      <c r="P102" s="764"/>
      <c r="Q102" s="764"/>
      <c r="R102" s="764"/>
      <c r="S102" s="764"/>
      <c r="T102" s="764"/>
      <c r="U102" s="764"/>
      <c r="V102" s="780"/>
      <c r="W102" s="770">
        <f t="shared" ref="W102:W109" si="79">SUM(K102:V102)</f>
        <v>0</v>
      </c>
      <c r="X102" s="783" t="s">
        <v>499</v>
      </c>
      <c r="Y102" s="772">
        <v>28</v>
      </c>
      <c r="Z102" s="784" t="s">
        <v>454</v>
      </c>
      <c r="AA102" s="772">
        <v>133</v>
      </c>
      <c r="AB102" s="784" t="s">
        <v>451</v>
      </c>
      <c r="AC102" s="774" t="s">
        <v>866</v>
      </c>
      <c r="AD102" s="772">
        <v>11</v>
      </c>
      <c r="AE102" s="867">
        <f t="shared" si="77"/>
        <v>0</v>
      </c>
      <c r="AF102" s="867">
        <f t="shared" si="78"/>
        <v>0</v>
      </c>
      <c r="AG102" s="869">
        <f t="shared" si="74"/>
        <v>0</v>
      </c>
      <c r="AH102" s="869">
        <f t="shared" si="75"/>
        <v>0</v>
      </c>
      <c r="AI102" s="869">
        <f t="shared" si="76"/>
        <v>0</v>
      </c>
      <c r="AJ102" s="930" t="s">
        <v>497</v>
      </c>
      <c r="AK102" s="775"/>
      <c r="AL102" s="776"/>
      <c r="AM102" s="279"/>
      <c r="AN102" s="280"/>
    </row>
    <row r="103" spans="1:40" ht="37.5" customHeight="1" x14ac:dyDescent="0.3">
      <c r="A103" s="765"/>
      <c r="B103" s="766"/>
      <c r="C103" s="766"/>
      <c r="D103" s="766"/>
      <c r="E103" s="766"/>
      <c r="F103" s="767"/>
      <c r="G103" s="335"/>
      <c r="H103" s="1547" t="s">
        <v>504</v>
      </c>
      <c r="I103" s="1501" t="s">
        <v>470</v>
      </c>
      <c r="J103" s="768" t="s">
        <v>160</v>
      </c>
      <c r="K103" s="769"/>
      <c r="L103" s="764"/>
      <c r="M103" s="764"/>
      <c r="N103" s="764">
        <v>520</v>
      </c>
      <c r="O103" s="764">
        <v>520</v>
      </c>
      <c r="P103" s="764">
        <v>520</v>
      </c>
      <c r="Q103" s="764">
        <v>520</v>
      </c>
      <c r="R103" s="764">
        <v>520</v>
      </c>
      <c r="S103" s="764"/>
      <c r="T103" s="764"/>
      <c r="U103" s="764"/>
      <c r="V103" s="780"/>
      <c r="W103" s="770">
        <f t="shared" si="79"/>
        <v>2600</v>
      </c>
      <c r="X103" s="783" t="s">
        <v>460</v>
      </c>
      <c r="Y103" s="773">
        <f>12*2</f>
        <v>24</v>
      </c>
      <c r="Z103" s="784" t="s">
        <v>454</v>
      </c>
      <c r="AA103" s="772">
        <v>133</v>
      </c>
      <c r="AB103" s="784" t="s">
        <v>451</v>
      </c>
      <c r="AC103" s="774" t="s">
        <v>866</v>
      </c>
      <c r="AD103" s="772">
        <v>11</v>
      </c>
      <c r="AE103" s="867">
        <f t="shared" si="77"/>
        <v>108.33333333333333</v>
      </c>
      <c r="AF103" s="867">
        <f t="shared" si="78"/>
        <v>2600</v>
      </c>
      <c r="AG103" s="869">
        <f t="shared" si="74"/>
        <v>520</v>
      </c>
      <c r="AH103" s="869">
        <f t="shared" si="75"/>
        <v>2080</v>
      </c>
      <c r="AI103" s="869">
        <f t="shared" si="76"/>
        <v>0</v>
      </c>
      <c r="AJ103" s="1486" t="s">
        <v>497</v>
      </c>
      <c r="AK103" s="775"/>
      <c r="AL103" s="776"/>
      <c r="AM103" s="279"/>
      <c r="AN103" s="280"/>
    </row>
    <row r="104" spans="1:40" ht="37.5" customHeight="1" x14ac:dyDescent="0.3">
      <c r="A104" s="765"/>
      <c r="B104" s="766"/>
      <c r="C104" s="766"/>
      <c r="D104" s="766"/>
      <c r="E104" s="766"/>
      <c r="F104" s="767"/>
      <c r="G104" s="335"/>
      <c r="H104" s="1548"/>
      <c r="I104" s="1501"/>
      <c r="J104" s="768" t="s">
        <v>160</v>
      </c>
      <c r="K104" s="769"/>
      <c r="L104" s="764"/>
      <c r="M104" s="850">
        <v>260</v>
      </c>
      <c r="N104" s="764">
        <v>260</v>
      </c>
      <c r="O104" s="764">
        <v>260</v>
      </c>
      <c r="P104" s="764">
        <v>260</v>
      </c>
      <c r="Q104" s="764">
        <v>260</v>
      </c>
      <c r="R104" s="764">
        <v>260</v>
      </c>
      <c r="S104" s="764">
        <v>260</v>
      </c>
      <c r="T104" s="764">
        <v>260</v>
      </c>
      <c r="U104" s="764">
        <v>260</v>
      </c>
      <c r="V104" s="780"/>
      <c r="W104" s="770">
        <f t="shared" si="79"/>
        <v>2340</v>
      </c>
      <c r="X104" s="783" t="s">
        <v>499</v>
      </c>
      <c r="Y104" s="772">
        <v>12</v>
      </c>
      <c r="Z104" s="784" t="s">
        <v>454</v>
      </c>
      <c r="AA104" s="772">
        <v>133</v>
      </c>
      <c r="AB104" s="784" t="s">
        <v>451</v>
      </c>
      <c r="AC104" s="774" t="s">
        <v>866</v>
      </c>
      <c r="AD104" s="772">
        <v>11</v>
      </c>
      <c r="AE104" s="867">
        <f t="shared" si="77"/>
        <v>195</v>
      </c>
      <c r="AF104" s="867">
        <f t="shared" si="78"/>
        <v>2340</v>
      </c>
      <c r="AG104" s="869">
        <f t="shared" si="74"/>
        <v>520</v>
      </c>
      <c r="AH104" s="869">
        <f t="shared" si="75"/>
        <v>1040</v>
      </c>
      <c r="AI104" s="869">
        <f t="shared" si="76"/>
        <v>780</v>
      </c>
      <c r="AJ104" s="1486"/>
      <c r="AK104" s="775"/>
      <c r="AL104" s="776"/>
      <c r="AM104" s="279"/>
      <c r="AN104" s="280"/>
    </row>
    <row r="105" spans="1:40" ht="28.8" x14ac:dyDescent="0.3">
      <c r="A105" s="765"/>
      <c r="B105" s="766"/>
      <c r="C105" s="766"/>
      <c r="D105" s="766"/>
      <c r="E105" s="766"/>
      <c r="F105" s="767"/>
      <c r="G105" s="335"/>
      <c r="H105" s="1549"/>
      <c r="I105" s="861"/>
      <c r="J105" s="768" t="s">
        <v>160</v>
      </c>
      <c r="K105" s="769"/>
      <c r="L105" s="764"/>
      <c r="M105" s="850">
        <v>250</v>
      </c>
      <c r="N105" s="850">
        <v>250</v>
      </c>
      <c r="O105" s="850">
        <v>250</v>
      </c>
      <c r="P105" s="850">
        <v>250</v>
      </c>
      <c r="Q105" s="850">
        <v>250</v>
      </c>
      <c r="R105" s="850">
        <v>250</v>
      </c>
      <c r="S105" s="850">
        <v>250</v>
      </c>
      <c r="T105" s="850">
        <v>250</v>
      </c>
      <c r="U105" s="850">
        <v>250</v>
      </c>
      <c r="V105" s="850">
        <v>250</v>
      </c>
      <c r="W105" s="770">
        <f t="shared" ref="W105" si="80">SUM(K105:V105)</f>
        <v>2500</v>
      </c>
      <c r="X105" s="783" t="s">
        <v>500</v>
      </c>
      <c r="Y105" s="772">
        <v>28</v>
      </c>
      <c r="Z105" s="784" t="s">
        <v>485</v>
      </c>
      <c r="AA105" s="772">
        <v>262</v>
      </c>
      <c r="AB105" s="785">
        <v>33102</v>
      </c>
      <c r="AC105" s="773">
        <v>36183</v>
      </c>
      <c r="AD105" s="772">
        <v>11</v>
      </c>
      <c r="AE105" s="867">
        <f t="shared" ref="AE105" si="81">W105/Y105</f>
        <v>89.285714285714292</v>
      </c>
      <c r="AF105" s="867">
        <f t="shared" ref="AF105" si="82">Y105*AE105</f>
        <v>2500</v>
      </c>
      <c r="AG105" s="869">
        <f t="shared" si="74"/>
        <v>500</v>
      </c>
      <c r="AH105" s="869">
        <f t="shared" si="75"/>
        <v>1000</v>
      </c>
      <c r="AI105" s="869">
        <f t="shared" si="76"/>
        <v>1000</v>
      </c>
      <c r="AJ105" s="862"/>
      <c r="AK105" s="775"/>
      <c r="AL105" s="776"/>
      <c r="AM105" s="279"/>
      <c r="AN105" s="280"/>
    </row>
    <row r="106" spans="1:40" ht="30" customHeight="1" x14ac:dyDescent="0.3">
      <c r="A106" s="765"/>
      <c r="B106" s="766"/>
      <c r="C106" s="766"/>
      <c r="D106" s="766"/>
      <c r="E106" s="766"/>
      <c r="F106" s="767"/>
      <c r="G106" s="335"/>
      <c r="H106" s="1532" t="s">
        <v>505</v>
      </c>
      <c r="I106" s="1442" t="s">
        <v>470</v>
      </c>
      <c r="J106" s="768" t="s">
        <v>160</v>
      </c>
      <c r="K106" s="769"/>
      <c r="L106" s="764"/>
      <c r="M106" s="764"/>
      <c r="N106" s="764"/>
      <c r="O106" s="764"/>
      <c r="P106" s="764"/>
      <c r="Q106" s="764"/>
      <c r="R106" s="764"/>
      <c r="S106" s="764"/>
      <c r="T106" s="764"/>
      <c r="U106" s="764"/>
      <c r="V106" s="780"/>
      <c r="W106" s="770">
        <f t="shared" si="79"/>
        <v>0</v>
      </c>
      <c r="X106" s="783" t="s">
        <v>499</v>
      </c>
      <c r="Y106" s="772">
        <f>5*13</f>
        <v>65</v>
      </c>
      <c r="Z106" s="784" t="s">
        <v>454</v>
      </c>
      <c r="AA106" s="772">
        <v>133</v>
      </c>
      <c r="AB106" s="784" t="s">
        <v>451</v>
      </c>
      <c r="AC106" s="774" t="s">
        <v>866</v>
      </c>
      <c r="AD106" s="772">
        <v>11</v>
      </c>
      <c r="AE106" s="867">
        <f t="shared" si="77"/>
        <v>0</v>
      </c>
      <c r="AF106" s="867">
        <f t="shared" si="78"/>
        <v>0</v>
      </c>
      <c r="AG106" s="869">
        <f t="shared" si="74"/>
        <v>0</v>
      </c>
      <c r="AH106" s="869">
        <f t="shared" si="75"/>
        <v>0</v>
      </c>
      <c r="AI106" s="869">
        <f t="shared" si="76"/>
        <v>0</v>
      </c>
      <c r="AJ106" s="1490" t="s">
        <v>497</v>
      </c>
      <c r="AK106" s="775"/>
      <c r="AL106" s="776"/>
      <c r="AM106" s="279"/>
      <c r="AN106" s="280"/>
    </row>
    <row r="107" spans="1:40" ht="28.8" x14ac:dyDescent="0.3">
      <c r="A107" s="765"/>
      <c r="B107" s="766"/>
      <c r="C107" s="766"/>
      <c r="D107" s="766"/>
      <c r="E107" s="766"/>
      <c r="F107" s="767"/>
      <c r="G107" s="335"/>
      <c r="H107" s="1533"/>
      <c r="I107" s="1443"/>
      <c r="J107" s="768" t="s">
        <v>160</v>
      </c>
      <c r="K107" s="769"/>
      <c r="L107" s="764"/>
      <c r="M107" s="764"/>
      <c r="N107" s="764"/>
      <c r="O107" s="764"/>
      <c r="P107" s="764"/>
      <c r="Q107" s="764"/>
      <c r="R107" s="764"/>
      <c r="S107" s="764"/>
      <c r="T107" s="764"/>
      <c r="U107" s="764"/>
      <c r="V107" s="780"/>
      <c r="W107" s="770">
        <f t="shared" si="79"/>
        <v>0</v>
      </c>
      <c r="X107" s="783" t="s">
        <v>460</v>
      </c>
      <c r="Y107" s="773">
        <f>5*3</f>
        <v>15</v>
      </c>
      <c r="Z107" s="784" t="s">
        <v>454</v>
      </c>
      <c r="AA107" s="772">
        <v>136</v>
      </c>
      <c r="AB107" s="784" t="s">
        <v>451</v>
      </c>
      <c r="AC107" s="774" t="s">
        <v>866</v>
      </c>
      <c r="AD107" s="772">
        <v>11</v>
      </c>
      <c r="AE107" s="867">
        <f t="shared" si="77"/>
        <v>0</v>
      </c>
      <c r="AF107" s="867">
        <f t="shared" si="78"/>
        <v>0</v>
      </c>
      <c r="AG107" s="869">
        <f t="shared" si="74"/>
        <v>0</v>
      </c>
      <c r="AH107" s="869">
        <f t="shared" si="75"/>
        <v>0</v>
      </c>
      <c r="AI107" s="869">
        <f t="shared" si="76"/>
        <v>0</v>
      </c>
      <c r="AJ107" s="1445"/>
      <c r="AK107" s="775"/>
      <c r="AL107" s="776"/>
      <c r="AM107" s="279"/>
      <c r="AN107" s="280"/>
    </row>
    <row r="108" spans="1:40" ht="28.8" x14ac:dyDescent="0.3">
      <c r="A108" s="765"/>
      <c r="B108" s="766"/>
      <c r="C108" s="766"/>
      <c r="D108" s="766"/>
      <c r="E108" s="766"/>
      <c r="F108" s="767"/>
      <c r="G108" s="335"/>
      <c r="H108" s="1534"/>
      <c r="I108" s="1444"/>
      <c r="J108" s="768" t="s">
        <v>160</v>
      </c>
      <c r="K108" s="769"/>
      <c r="L108" s="764"/>
      <c r="M108" s="850"/>
      <c r="N108" s="764"/>
      <c r="O108" s="764"/>
      <c r="P108" s="764"/>
      <c r="Q108" s="764"/>
      <c r="R108" s="764"/>
      <c r="S108" s="764"/>
      <c r="T108" s="764"/>
      <c r="U108" s="764"/>
      <c r="V108" s="780"/>
      <c r="W108" s="770">
        <f t="shared" si="79"/>
        <v>0</v>
      </c>
      <c r="X108" s="783" t="s">
        <v>500</v>
      </c>
      <c r="Y108" s="772">
        <v>28</v>
      </c>
      <c r="Z108" s="784" t="s">
        <v>485</v>
      </c>
      <c r="AA108" s="772">
        <v>262</v>
      </c>
      <c r="AB108" s="785">
        <v>33102</v>
      </c>
      <c r="AC108" s="773">
        <v>36183</v>
      </c>
      <c r="AD108" s="772">
        <v>11</v>
      </c>
      <c r="AE108" s="867">
        <f t="shared" si="77"/>
        <v>0</v>
      </c>
      <c r="AF108" s="867">
        <f t="shared" si="78"/>
        <v>0</v>
      </c>
      <c r="AG108" s="869">
        <f t="shared" si="74"/>
        <v>0</v>
      </c>
      <c r="AH108" s="869">
        <f t="shared" si="75"/>
        <v>0</v>
      </c>
      <c r="AI108" s="869">
        <f t="shared" si="76"/>
        <v>0</v>
      </c>
      <c r="AJ108" s="1446"/>
      <c r="AK108" s="775"/>
      <c r="AL108" s="776"/>
      <c r="AM108" s="279"/>
      <c r="AN108" s="280"/>
    </row>
    <row r="109" spans="1:40" ht="65.25" customHeight="1" x14ac:dyDescent="0.3">
      <c r="A109" s="765"/>
      <c r="B109" s="766"/>
      <c r="C109" s="766"/>
      <c r="D109" s="766"/>
      <c r="E109" s="766"/>
      <c r="F109" s="767"/>
      <c r="G109" s="687"/>
      <c r="H109" s="1529" t="s">
        <v>937</v>
      </c>
      <c r="I109" s="793"/>
      <c r="J109" s="768" t="s">
        <v>70</v>
      </c>
      <c r="K109" s="794"/>
      <c r="L109" s="794"/>
      <c r="M109" s="794"/>
      <c r="N109" s="794"/>
      <c r="O109" s="794"/>
      <c r="P109" s="794"/>
      <c r="Q109" s="794"/>
      <c r="R109" s="931">
        <v>2</v>
      </c>
      <c r="S109" s="932"/>
      <c r="T109" s="932"/>
      <c r="U109" s="932"/>
      <c r="V109" s="932"/>
      <c r="W109" s="933">
        <f t="shared" si="79"/>
        <v>2</v>
      </c>
      <c r="X109" s="797"/>
      <c r="Y109" s="772"/>
      <c r="Z109" s="773"/>
      <c r="AA109" s="772"/>
      <c r="AB109" s="798"/>
      <c r="AC109" s="774"/>
      <c r="AD109" s="772"/>
      <c r="AE109" s="867"/>
      <c r="AF109" s="867"/>
      <c r="AG109" s="869">
        <f t="shared" si="74"/>
        <v>0</v>
      </c>
      <c r="AH109" s="869">
        <f t="shared" si="75"/>
        <v>2</v>
      </c>
      <c r="AI109" s="869">
        <f t="shared" si="76"/>
        <v>0</v>
      </c>
      <c r="AJ109" s="799"/>
      <c r="AK109" s="779"/>
      <c r="AL109" s="776"/>
      <c r="AM109" s="279"/>
      <c r="AN109" s="280"/>
    </row>
    <row r="110" spans="1:40" ht="65.25" customHeight="1" x14ac:dyDescent="0.3">
      <c r="A110" s="765"/>
      <c r="B110" s="766"/>
      <c r="C110" s="766"/>
      <c r="D110" s="766"/>
      <c r="E110" s="766"/>
      <c r="F110" s="767"/>
      <c r="G110" s="687"/>
      <c r="H110" s="1529"/>
      <c r="I110" s="793"/>
      <c r="J110" s="800" t="s">
        <v>160</v>
      </c>
      <c r="K110" s="801"/>
      <c r="L110" s="801"/>
      <c r="M110" s="801"/>
      <c r="N110" s="802"/>
      <c r="O110" s="801"/>
      <c r="P110" s="801"/>
      <c r="Q110" s="801"/>
      <c r="R110" s="804">
        <v>13844</v>
      </c>
      <c r="S110" s="804">
        <v>13844</v>
      </c>
      <c r="T110" s="804">
        <v>13844</v>
      </c>
      <c r="U110" s="804">
        <v>13844</v>
      </c>
      <c r="V110" s="804">
        <v>16810</v>
      </c>
      <c r="W110" s="805">
        <f t="shared" ref="W110" si="83">SUM(K110:V110)</f>
        <v>72186</v>
      </c>
      <c r="X110" s="809" t="s">
        <v>964</v>
      </c>
      <c r="Y110" s="772">
        <v>2</v>
      </c>
      <c r="Z110" s="806" t="s">
        <v>868</v>
      </c>
      <c r="AA110" s="772">
        <v>300</v>
      </c>
      <c r="AB110" s="798" t="s">
        <v>451</v>
      </c>
      <c r="AC110" s="806" t="s">
        <v>866</v>
      </c>
      <c r="AD110" s="772">
        <v>11</v>
      </c>
      <c r="AE110" s="867">
        <f t="shared" si="77"/>
        <v>36093</v>
      </c>
      <c r="AF110" s="867">
        <f t="shared" si="78"/>
        <v>72186</v>
      </c>
      <c r="AG110" s="869">
        <f t="shared" si="74"/>
        <v>0</v>
      </c>
      <c r="AH110" s="869">
        <f t="shared" si="75"/>
        <v>13844</v>
      </c>
      <c r="AI110" s="869">
        <f t="shared" si="76"/>
        <v>58342</v>
      </c>
      <c r="AJ110" s="807" t="s">
        <v>456</v>
      </c>
      <c r="AK110" s="779"/>
      <c r="AL110" s="776"/>
      <c r="AM110" s="279"/>
      <c r="AN110" s="280"/>
    </row>
    <row r="111" spans="1:40" ht="53.25" customHeight="1" x14ac:dyDescent="0.3">
      <c r="A111" s="765"/>
      <c r="B111" s="766"/>
      <c r="C111" s="766"/>
      <c r="D111" s="766"/>
      <c r="E111" s="766"/>
      <c r="F111" s="767"/>
      <c r="G111" s="687"/>
      <c r="H111" s="1529" t="s">
        <v>942</v>
      </c>
      <c r="I111" s="793"/>
      <c r="J111" s="768" t="s">
        <v>70</v>
      </c>
      <c r="K111" s="794"/>
      <c r="L111" s="794"/>
      <c r="M111" s="794"/>
      <c r="N111" s="794"/>
      <c r="O111" s="794"/>
      <c r="P111" s="794"/>
      <c r="Q111" s="794"/>
      <c r="R111" s="808"/>
      <c r="S111" s="794"/>
      <c r="T111" s="794"/>
      <c r="U111" s="794"/>
      <c r="V111" s="794"/>
      <c r="W111" s="796"/>
      <c r="X111" s="797"/>
      <c r="Y111" s="772"/>
      <c r="Z111" s="773"/>
      <c r="AA111" s="772"/>
      <c r="AB111" s="798"/>
      <c r="AC111" s="774"/>
      <c r="AD111" s="772"/>
      <c r="AE111" s="867"/>
      <c r="AF111" s="867"/>
      <c r="AG111" s="869">
        <f t="shared" si="74"/>
        <v>0</v>
      </c>
      <c r="AH111" s="869">
        <f t="shared" si="75"/>
        <v>0</v>
      </c>
      <c r="AI111" s="869">
        <f t="shared" si="76"/>
        <v>0</v>
      </c>
      <c r="AJ111" s="799"/>
      <c r="AK111" s="779"/>
      <c r="AL111" s="776"/>
      <c r="AM111" s="279"/>
      <c r="AN111" s="280"/>
    </row>
    <row r="112" spans="1:40" ht="53.25" customHeight="1" x14ac:dyDescent="0.3">
      <c r="A112" s="765"/>
      <c r="B112" s="766"/>
      <c r="C112" s="766"/>
      <c r="D112" s="766"/>
      <c r="E112" s="766"/>
      <c r="F112" s="767"/>
      <c r="G112" s="687"/>
      <c r="H112" s="1529"/>
      <c r="I112" s="793"/>
      <c r="J112" s="800" t="s">
        <v>160</v>
      </c>
      <c r="K112" s="801"/>
      <c r="L112" s="801"/>
      <c r="M112" s="804"/>
      <c r="N112" s="804"/>
      <c r="O112" s="804">
        <v>8500</v>
      </c>
      <c r="P112" s="804">
        <v>8500</v>
      </c>
      <c r="Q112" s="804">
        <v>8500</v>
      </c>
      <c r="R112" s="804">
        <v>8500</v>
      </c>
      <c r="S112" s="804">
        <v>8500</v>
      </c>
      <c r="T112" s="804">
        <v>8500</v>
      </c>
      <c r="U112" s="804">
        <v>8500</v>
      </c>
      <c r="V112" s="804">
        <v>8500</v>
      </c>
      <c r="W112" s="805">
        <f t="shared" ref="W112" si="84">SUM(K112:V112)</f>
        <v>68000</v>
      </c>
      <c r="X112" s="934" t="s">
        <v>992</v>
      </c>
      <c r="Y112" s="772">
        <v>1</v>
      </c>
      <c r="Z112" s="790" t="s">
        <v>941</v>
      </c>
      <c r="AA112" s="772">
        <v>29</v>
      </c>
      <c r="AB112" s="798" t="s">
        <v>451</v>
      </c>
      <c r="AC112" s="810" t="s">
        <v>866</v>
      </c>
      <c r="AD112" s="772">
        <v>11</v>
      </c>
      <c r="AE112" s="867">
        <f t="shared" si="77"/>
        <v>68000</v>
      </c>
      <c r="AF112" s="867">
        <f t="shared" si="78"/>
        <v>68000</v>
      </c>
      <c r="AG112" s="869">
        <f t="shared" si="74"/>
        <v>0</v>
      </c>
      <c r="AH112" s="869">
        <f t="shared" si="75"/>
        <v>34000</v>
      </c>
      <c r="AI112" s="869">
        <f t="shared" si="76"/>
        <v>34000</v>
      </c>
      <c r="AJ112" s="807" t="s">
        <v>456</v>
      </c>
      <c r="AK112" s="779"/>
      <c r="AL112" s="776"/>
      <c r="AM112" s="279"/>
      <c r="AN112" s="280"/>
    </row>
    <row r="113" spans="1:40" ht="53.25" customHeight="1" x14ac:dyDescent="0.3">
      <c r="A113" s="765"/>
      <c r="B113" s="766"/>
      <c r="C113" s="766"/>
      <c r="D113" s="766"/>
      <c r="E113" s="766"/>
      <c r="F113" s="767"/>
      <c r="G113" s="687"/>
      <c r="H113" s="1465" t="s">
        <v>970</v>
      </c>
      <c r="I113" s="793"/>
      <c r="J113" s="768" t="s">
        <v>70</v>
      </c>
      <c r="K113" s="794"/>
      <c r="L113" s="794"/>
      <c r="M113" s="794"/>
      <c r="N113" s="794"/>
      <c r="O113" s="794"/>
      <c r="P113" s="794"/>
      <c r="Q113" s="794"/>
      <c r="R113" s="808"/>
      <c r="S113" s="794"/>
      <c r="T113" s="794"/>
      <c r="U113" s="794"/>
      <c r="V113" s="794"/>
      <c r="W113" s="796"/>
      <c r="X113" s="797"/>
      <c r="Y113" s="772"/>
      <c r="Z113" s="773"/>
      <c r="AA113" s="772"/>
      <c r="AB113" s="798"/>
      <c r="AC113" s="774"/>
      <c r="AD113" s="772"/>
      <c r="AE113" s="867"/>
      <c r="AF113" s="867"/>
      <c r="AG113" s="869">
        <f t="shared" si="74"/>
        <v>0</v>
      </c>
      <c r="AH113" s="869">
        <f t="shared" si="75"/>
        <v>0</v>
      </c>
      <c r="AI113" s="869">
        <f t="shared" si="76"/>
        <v>0</v>
      </c>
      <c r="AJ113" s="799"/>
      <c r="AK113" s="779"/>
      <c r="AL113" s="776"/>
      <c r="AM113" s="279"/>
      <c r="AN113" s="280"/>
    </row>
    <row r="114" spans="1:40" ht="53.25" customHeight="1" x14ac:dyDescent="0.3">
      <c r="A114" s="765"/>
      <c r="B114" s="766"/>
      <c r="C114" s="766"/>
      <c r="D114" s="766"/>
      <c r="E114" s="766"/>
      <c r="F114" s="767"/>
      <c r="G114" s="687"/>
      <c r="H114" s="1466"/>
      <c r="I114" s="793"/>
      <c r="J114" s="800" t="s">
        <v>160</v>
      </c>
      <c r="K114" s="801"/>
      <c r="L114" s="801"/>
      <c r="M114" s="804"/>
      <c r="N114" s="804"/>
      <c r="O114" s="804">
        <v>17000</v>
      </c>
      <c r="P114" s="804">
        <v>17000</v>
      </c>
      <c r="Q114" s="804">
        <v>17000</v>
      </c>
      <c r="R114" s="804">
        <v>17000</v>
      </c>
      <c r="S114" s="804">
        <v>17000</v>
      </c>
      <c r="T114" s="804">
        <v>17000</v>
      </c>
      <c r="U114" s="804">
        <v>17000</v>
      </c>
      <c r="V114" s="804">
        <v>17000</v>
      </c>
      <c r="W114" s="805">
        <f t="shared" ref="W114" si="85">SUM(K114:V114)</f>
        <v>136000</v>
      </c>
      <c r="X114" s="934" t="s">
        <v>993</v>
      </c>
      <c r="Y114" s="772">
        <v>1</v>
      </c>
      <c r="Z114" s="790" t="s">
        <v>941</v>
      </c>
      <c r="AA114" s="772">
        <v>183</v>
      </c>
      <c r="AB114" s="798" t="s">
        <v>451</v>
      </c>
      <c r="AC114" s="810" t="s">
        <v>866</v>
      </c>
      <c r="AD114" s="772">
        <v>11</v>
      </c>
      <c r="AE114" s="867">
        <f t="shared" si="77"/>
        <v>136000</v>
      </c>
      <c r="AF114" s="867">
        <f t="shared" si="78"/>
        <v>136000</v>
      </c>
      <c r="AG114" s="869">
        <f t="shared" si="74"/>
        <v>0</v>
      </c>
      <c r="AH114" s="869">
        <f t="shared" si="75"/>
        <v>68000</v>
      </c>
      <c r="AI114" s="869">
        <f t="shared" si="76"/>
        <v>68000</v>
      </c>
      <c r="AJ114" s="807" t="s">
        <v>456</v>
      </c>
      <c r="AK114" s="779"/>
      <c r="AL114" s="776"/>
      <c r="AM114" s="279"/>
      <c r="AN114" s="280"/>
    </row>
    <row r="115" spans="1:40" ht="48.75" customHeight="1" x14ac:dyDescent="0.3">
      <c r="A115" s="135"/>
      <c r="B115" s="136"/>
      <c r="C115" s="136"/>
      <c r="D115" s="136"/>
      <c r="E115" s="136"/>
      <c r="F115" s="137"/>
      <c r="G115" s="336"/>
      <c r="H115" s="1523" t="s">
        <v>473</v>
      </c>
      <c r="I115" s="1527" t="s">
        <v>470</v>
      </c>
      <c r="J115" s="817" t="s">
        <v>70</v>
      </c>
      <c r="K115" s="816">
        <v>59</v>
      </c>
      <c r="L115" s="816">
        <v>150</v>
      </c>
      <c r="M115" s="816">
        <v>220</v>
      </c>
      <c r="N115" s="816">
        <v>220</v>
      </c>
      <c r="O115" s="816">
        <v>220</v>
      </c>
      <c r="P115" s="816">
        <v>220</v>
      </c>
      <c r="Q115" s="816">
        <v>220</v>
      </c>
      <c r="R115" s="816">
        <v>220</v>
      </c>
      <c r="S115" s="816">
        <v>220</v>
      </c>
      <c r="T115" s="816">
        <v>220</v>
      </c>
      <c r="U115" s="816">
        <v>220</v>
      </c>
      <c r="V115" s="816">
        <v>187</v>
      </c>
      <c r="W115" s="819">
        <f t="shared" ref="W115:W122" si="86">SUM(K115:V115)</f>
        <v>2376</v>
      </c>
      <c r="X115" s="702"/>
      <c r="Y115" s="702"/>
      <c r="Z115" s="702"/>
      <c r="AA115" s="702"/>
      <c r="AB115" s="702"/>
      <c r="AC115" s="702"/>
      <c r="AD115" s="702"/>
      <c r="AE115" s="702"/>
      <c r="AF115" s="703"/>
      <c r="AG115" s="718">
        <f>SUMIF($J117:$J122,$J$115,AG117:AG122)</f>
        <v>549</v>
      </c>
      <c r="AH115" s="719">
        <f>SUMIF($J117:$J122,$J$115,AH117:AH122)</f>
        <v>615</v>
      </c>
      <c r="AI115" s="719">
        <f>SUMIF($J117:$J122,$J$115,AI117:AI122)</f>
        <v>540</v>
      </c>
      <c r="AJ115" s="720"/>
    </row>
    <row r="116" spans="1:40" ht="48.75" customHeight="1" x14ac:dyDescent="0.3">
      <c r="A116" s="135"/>
      <c r="B116" s="136"/>
      <c r="C116" s="136"/>
      <c r="D116" s="136"/>
      <c r="E116" s="136"/>
      <c r="F116" s="137"/>
      <c r="G116" s="335"/>
      <c r="H116" s="1524"/>
      <c r="I116" s="1528"/>
      <c r="J116" s="710" t="s">
        <v>160</v>
      </c>
      <c r="K116" s="711">
        <f>SUMIF($J117:$J126,$J$116,K117:K126)</f>
        <v>66290</v>
      </c>
      <c r="L116" s="711">
        <f>SUMIF($J117:$J126,$J$116,L117:L126)</f>
        <v>58578</v>
      </c>
      <c r="M116" s="711">
        <f t="shared" ref="M116:V116" si="87">SUMIF($J117:$J126,$J$116,M117:M126)</f>
        <v>123853</v>
      </c>
      <c r="N116" s="711">
        <f t="shared" si="87"/>
        <v>129610</v>
      </c>
      <c r="O116" s="711">
        <f t="shared" si="87"/>
        <v>138110</v>
      </c>
      <c r="P116" s="711">
        <f t="shared" si="87"/>
        <v>138110</v>
      </c>
      <c r="Q116" s="711">
        <f t="shared" si="87"/>
        <v>181470</v>
      </c>
      <c r="R116" s="711">
        <f t="shared" si="87"/>
        <v>123908</v>
      </c>
      <c r="S116" s="711">
        <f t="shared" si="87"/>
        <v>123908</v>
      </c>
      <c r="T116" s="711">
        <f t="shared" si="87"/>
        <v>123908</v>
      </c>
      <c r="U116" s="711">
        <f t="shared" si="87"/>
        <v>123908</v>
      </c>
      <c r="V116" s="711">
        <f t="shared" si="87"/>
        <v>159935</v>
      </c>
      <c r="W116" s="712">
        <f t="shared" si="86"/>
        <v>1491588</v>
      </c>
      <c r="X116" s="714"/>
      <c r="Y116" s="714"/>
      <c r="Z116" s="714"/>
      <c r="AA116" s="714"/>
      <c r="AB116" s="714"/>
      <c r="AC116" s="714"/>
      <c r="AD116" s="714"/>
      <c r="AE116" s="714"/>
      <c r="AF116" s="715"/>
      <c r="AG116" s="722">
        <f>SUMIF($J117:$J122,$J$116,AG117:AG122)</f>
        <v>378331</v>
      </c>
      <c r="AH116" s="722">
        <f>SUMIF($J117:$J122,$J$116,AH117:AH122)</f>
        <v>485300</v>
      </c>
      <c r="AI116" s="722">
        <f>SUMIF($J117:$J122,$J$116,AI117:AI122)</f>
        <v>235120</v>
      </c>
      <c r="AJ116" s="717"/>
    </row>
    <row r="117" spans="1:40" ht="67.5" customHeight="1" x14ac:dyDescent="0.3">
      <c r="A117" s="135"/>
      <c r="B117" s="136"/>
      <c r="C117" s="136"/>
      <c r="D117" s="136"/>
      <c r="E117" s="136"/>
      <c r="F117" s="137"/>
      <c r="G117" s="336"/>
      <c r="H117" s="1531" t="s">
        <v>514</v>
      </c>
      <c r="I117" s="1431" t="s">
        <v>470</v>
      </c>
      <c r="J117" s="584" t="s">
        <v>70</v>
      </c>
      <c r="K117" s="593">
        <v>110</v>
      </c>
      <c r="L117" s="594">
        <v>133</v>
      </c>
      <c r="M117" s="594">
        <v>147</v>
      </c>
      <c r="N117" s="594">
        <v>159</v>
      </c>
      <c r="O117" s="594">
        <v>160</v>
      </c>
      <c r="P117" s="594">
        <v>148</v>
      </c>
      <c r="Q117" s="594">
        <v>157</v>
      </c>
      <c r="R117" s="594">
        <v>150</v>
      </c>
      <c r="S117" s="594">
        <v>143</v>
      </c>
      <c r="T117" s="594">
        <v>151</v>
      </c>
      <c r="U117" s="594">
        <v>144</v>
      </c>
      <c r="V117" s="595">
        <v>102</v>
      </c>
      <c r="W117" s="608">
        <v>1704</v>
      </c>
      <c r="X117" s="306"/>
      <c r="Y117" s="306"/>
      <c r="Z117" s="306"/>
      <c r="AA117" s="306"/>
      <c r="AB117" s="306"/>
      <c r="AC117" s="306"/>
      <c r="AD117" s="306"/>
      <c r="AE117" s="306"/>
      <c r="AF117" s="606"/>
      <c r="AG117" s="287">
        <f t="shared" ref="AG117:AG126" si="88">SUM($K117:$N117)</f>
        <v>549</v>
      </c>
      <c r="AH117" s="287">
        <f t="shared" ref="AH117:AH126" si="89">SUM($O117:$R117)</f>
        <v>615</v>
      </c>
      <c r="AI117" s="287">
        <f t="shared" ref="AI117:AI126" si="90">SUM($S117:$V117)</f>
        <v>540</v>
      </c>
      <c r="AJ117" s="615"/>
    </row>
    <row r="118" spans="1:40" ht="67.5" customHeight="1" x14ac:dyDescent="0.3">
      <c r="A118" s="135"/>
      <c r="B118" s="136"/>
      <c r="C118" s="136"/>
      <c r="D118" s="136"/>
      <c r="E118" s="136"/>
      <c r="F118" s="137"/>
      <c r="G118" s="335"/>
      <c r="H118" s="1531"/>
      <c r="I118" s="1431"/>
      <c r="J118" s="584" t="s">
        <v>160</v>
      </c>
      <c r="K118" s="585">
        <v>66290</v>
      </c>
      <c r="L118" s="586">
        <v>44610</v>
      </c>
      <c r="M118" s="586">
        <v>44610</v>
      </c>
      <c r="N118" s="586">
        <v>44610</v>
      </c>
      <c r="O118" s="586">
        <v>44610</v>
      </c>
      <c r="P118" s="586">
        <v>44610</v>
      </c>
      <c r="Q118" s="586">
        <v>87970</v>
      </c>
      <c r="R118" s="586">
        <v>44610</v>
      </c>
      <c r="S118" s="586">
        <v>44610</v>
      </c>
      <c r="T118" s="586">
        <v>44610</v>
      </c>
      <c r="U118" s="586">
        <v>44610</v>
      </c>
      <c r="V118" s="587">
        <v>67290</v>
      </c>
      <c r="W118" s="588">
        <f t="shared" si="86"/>
        <v>623040</v>
      </c>
      <c r="X118" s="282" t="s">
        <v>450</v>
      </c>
      <c r="Y118" s="283">
        <v>15</v>
      </c>
      <c r="Z118" s="284" t="s">
        <v>447</v>
      </c>
      <c r="AA118" s="285" t="s">
        <v>458</v>
      </c>
      <c r="AB118" s="284" t="s">
        <v>451</v>
      </c>
      <c r="AC118" s="579" t="s">
        <v>866</v>
      </c>
      <c r="AD118" s="283">
        <v>11</v>
      </c>
      <c r="AE118" s="286">
        <f>W118/Y118</f>
        <v>41536</v>
      </c>
      <c r="AF118" s="286">
        <f>Y118*AE118</f>
        <v>623040</v>
      </c>
      <c r="AG118" s="287">
        <f t="shared" si="88"/>
        <v>200120</v>
      </c>
      <c r="AH118" s="287">
        <f t="shared" si="89"/>
        <v>221800</v>
      </c>
      <c r="AI118" s="287">
        <f t="shared" si="90"/>
        <v>201120</v>
      </c>
      <c r="AJ118" s="288" t="s">
        <v>457</v>
      </c>
    </row>
    <row r="119" spans="1:40" s="779" customFormat="1" ht="67.5" customHeight="1" x14ac:dyDescent="0.3">
      <c r="A119" s="765"/>
      <c r="B119" s="766"/>
      <c r="C119" s="766"/>
      <c r="D119" s="766"/>
      <c r="E119" s="766"/>
      <c r="F119" s="767"/>
      <c r="G119" s="335"/>
      <c r="H119" s="1531"/>
      <c r="I119" s="1431"/>
      <c r="J119" s="768" t="s">
        <v>971</v>
      </c>
      <c r="K119" s="769"/>
      <c r="L119" s="764"/>
      <c r="M119" s="764"/>
      <c r="N119" s="764"/>
      <c r="O119" s="764"/>
      <c r="P119" s="764"/>
      <c r="Q119" s="764"/>
      <c r="R119" s="764"/>
      <c r="S119" s="764"/>
      <c r="T119" s="764"/>
      <c r="U119" s="764"/>
      <c r="V119" s="780"/>
      <c r="W119" s="770"/>
      <c r="X119" s="911" t="s">
        <v>972</v>
      </c>
      <c r="Y119" s="772"/>
      <c r="Z119" s="773"/>
      <c r="AA119" s="910"/>
      <c r="AB119" s="773"/>
      <c r="AC119" s="774"/>
      <c r="AD119" s="772"/>
      <c r="AE119" s="867"/>
      <c r="AF119" s="867"/>
      <c r="AG119" s="869">
        <f t="shared" si="88"/>
        <v>0</v>
      </c>
      <c r="AH119" s="869">
        <f t="shared" si="89"/>
        <v>0</v>
      </c>
      <c r="AI119" s="869">
        <f t="shared" si="90"/>
        <v>0</v>
      </c>
      <c r="AJ119" s="912"/>
    </row>
    <row r="120" spans="1:40" ht="45" customHeight="1" x14ac:dyDescent="0.3">
      <c r="A120" s="135"/>
      <c r="B120" s="136"/>
      <c r="C120" s="136"/>
      <c r="D120" s="136"/>
      <c r="E120" s="136"/>
      <c r="F120" s="137"/>
      <c r="G120" s="335"/>
      <c r="H120" s="1531"/>
      <c r="I120" s="1431"/>
      <c r="J120" s="584" t="s">
        <v>160</v>
      </c>
      <c r="K120" s="585"/>
      <c r="L120" s="586"/>
      <c r="M120" s="586"/>
      <c r="N120" s="586"/>
      <c r="O120" s="586"/>
      <c r="P120" s="586"/>
      <c r="Q120" s="586"/>
      <c r="R120" s="586"/>
      <c r="S120" s="586"/>
      <c r="T120" s="586"/>
      <c r="U120" s="586"/>
      <c r="V120" s="587"/>
      <c r="W120" s="588">
        <f t="shared" ref="W120" si="91">SUM(K120:V120)</f>
        <v>0</v>
      </c>
      <c r="X120" s="823" t="s">
        <v>515</v>
      </c>
      <c r="Y120" s="824">
        <v>16</v>
      </c>
      <c r="Z120" s="825" t="s">
        <v>454</v>
      </c>
      <c r="AA120" s="826">
        <v>133</v>
      </c>
      <c r="AB120" s="827" t="s">
        <v>451</v>
      </c>
      <c r="AC120" s="828" t="s">
        <v>866</v>
      </c>
      <c r="AD120" s="824">
        <v>11</v>
      </c>
      <c r="AE120" s="829">
        <f t="shared" ref="AE120:AE126" si="92">W120/Y120</f>
        <v>0</v>
      </c>
      <c r="AF120" s="829">
        <f t="shared" ref="AF120:AF126" si="93">Y120*AE120</f>
        <v>0</v>
      </c>
      <c r="AG120" s="830">
        <f t="shared" si="88"/>
        <v>0</v>
      </c>
      <c r="AH120" s="830">
        <f t="shared" si="89"/>
        <v>0</v>
      </c>
      <c r="AI120" s="830">
        <f t="shared" si="90"/>
        <v>0</v>
      </c>
      <c r="AJ120" s="831" t="s">
        <v>516</v>
      </c>
    </row>
    <row r="121" spans="1:40" s="779" customFormat="1" ht="129.75" customHeight="1" x14ac:dyDescent="0.3">
      <c r="A121" s="765"/>
      <c r="B121" s="766"/>
      <c r="C121" s="766"/>
      <c r="D121" s="766"/>
      <c r="E121" s="766"/>
      <c r="F121" s="767"/>
      <c r="G121" s="335"/>
      <c r="H121" s="1554" t="s">
        <v>477</v>
      </c>
      <c r="I121" s="1501" t="s">
        <v>470</v>
      </c>
      <c r="J121" s="768" t="s">
        <v>70</v>
      </c>
      <c r="K121" s="791"/>
      <c r="L121" s="787"/>
      <c r="M121" s="787"/>
      <c r="N121" s="787"/>
      <c r="O121" s="787"/>
      <c r="P121" s="787"/>
      <c r="Q121" s="787"/>
      <c r="R121" s="787"/>
      <c r="S121" s="787"/>
      <c r="T121" s="787"/>
      <c r="U121" s="787"/>
      <c r="V121" s="792"/>
      <c r="W121" s="822">
        <f t="shared" si="86"/>
        <v>0</v>
      </c>
      <c r="X121" s="840"/>
      <c r="Y121" s="840"/>
      <c r="Z121" s="840"/>
      <c r="AA121" s="840"/>
      <c r="AB121" s="840"/>
      <c r="AC121" s="840"/>
      <c r="AD121" s="840"/>
      <c r="AE121" s="286"/>
      <c r="AF121" s="286"/>
      <c r="AG121" s="287">
        <f t="shared" si="88"/>
        <v>0</v>
      </c>
      <c r="AH121" s="287">
        <f t="shared" si="89"/>
        <v>0</v>
      </c>
      <c r="AI121" s="287">
        <f t="shared" si="90"/>
        <v>0</v>
      </c>
      <c r="AJ121" s="840"/>
      <c r="AK121" s="775"/>
      <c r="AL121" s="775"/>
    </row>
    <row r="122" spans="1:40" s="779" customFormat="1" ht="136.5" customHeight="1" x14ac:dyDescent="0.3">
      <c r="A122" s="765"/>
      <c r="B122" s="766"/>
      <c r="C122" s="766"/>
      <c r="D122" s="766"/>
      <c r="E122" s="766"/>
      <c r="F122" s="767"/>
      <c r="G122" s="335"/>
      <c r="H122" s="1554"/>
      <c r="I122" s="1501"/>
      <c r="J122" s="768" t="s">
        <v>160</v>
      </c>
      <c r="K122" s="769">
        <f>'[2]029 (2)'!J123-K126</f>
        <v>0</v>
      </c>
      <c r="L122" s="769">
        <f>'[2]029 (2)'!K123-L126</f>
        <v>13968</v>
      </c>
      <c r="M122" s="769">
        <f>'[2]029 (2)'!L123-M126</f>
        <v>79243</v>
      </c>
      <c r="N122" s="769">
        <f>'[2]029 (2)'!M123-N126</f>
        <v>85000</v>
      </c>
      <c r="O122" s="769">
        <f>'[2]029 (2)'!N123-O126</f>
        <v>85000</v>
      </c>
      <c r="P122" s="769">
        <f>'[2]029 (2)'!O123-P126</f>
        <v>85000</v>
      </c>
      <c r="Q122" s="769">
        <f>'[2]029 (2)'!P123-Q126</f>
        <v>85000</v>
      </c>
      <c r="R122" s="769">
        <f>'[2]029 (2)'!Q123-R126-(8500*9)</f>
        <v>8500</v>
      </c>
      <c r="S122" s="769">
        <f>'[2]029 (2)'!R123-S126-(8500*9)</f>
        <v>8500</v>
      </c>
      <c r="T122" s="769">
        <f>'[2]029 (2)'!S123-T126-(8500*9)</f>
        <v>8500</v>
      </c>
      <c r="U122" s="769">
        <f>'[2]029 (2)'!T123-U126-(8500*9)</f>
        <v>8500</v>
      </c>
      <c r="V122" s="769">
        <f>'[2]029 (2)'!U123-V126-(8500*9)</f>
        <v>8500</v>
      </c>
      <c r="W122" s="770">
        <f t="shared" si="86"/>
        <v>475711</v>
      </c>
      <c r="X122" s="832" t="s">
        <v>454</v>
      </c>
      <c r="Y122" s="833">
        <v>10</v>
      </c>
      <c r="Z122" s="834" t="s">
        <v>447</v>
      </c>
      <c r="AA122" s="835">
        <v>29</v>
      </c>
      <c r="AB122" s="834" t="s">
        <v>451</v>
      </c>
      <c r="AC122" s="836" t="s">
        <v>866</v>
      </c>
      <c r="AD122" s="833">
        <v>11</v>
      </c>
      <c r="AE122" s="837">
        <f t="shared" si="92"/>
        <v>47571.1</v>
      </c>
      <c r="AF122" s="837">
        <f t="shared" si="93"/>
        <v>475711</v>
      </c>
      <c r="AG122" s="838">
        <f t="shared" si="88"/>
        <v>178211</v>
      </c>
      <c r="AH122" s="838">
        <f t="shared" si="89"/>
        <v>263500</v>
      </c>
      <c r="AI122" s="838">
        <f t="shared" si="90"/>
        <v>34000</v>
      </c>
      <c r="AJ122" s="839" t="s">
        <v>457</v>
      </c>
    </row>
    <row r="123" spans="1:40" s="779" customFormat="1" ht="84" customHeight="1" x14ac:dyDescent="0.3">
      <c r="A123" s="765"/>
      <c r="B123" s="766"/>
      <c r="C123" s="766"/>
      <c r="D123" s="766"/>
      <c r="E123" s="766"/>
      <c r="F123" s="767"/>
      <c r="G123" s="687"/>
      <c r="H123" s="1529" t="s">
        <v>938</v>
      </c>
      <c r="I123" s="793"/>
      <c r="J123" s="768" t="s">
        <v>70</v>
      </c>
      <c r="K123" s="794"/>
      <c r="L123" s="794"/>
      <c r="M123" s="794"/>
      <c r="N123" s="794"/>
      <c r="O123" s="794"/>
      <c r="P123" s="794"/>
      <c r="Q123" s="794"/>
      <c r="R123" s="795">
        <v>9</v>
      </c>
      <c r="S123" s="794"/>
      <c r="T123" s="794"/>
      <c r="U123" s="794"/>
      <c r="V123" s="794"/>
      <c r="W123" s="796"/>
      <c r="X123" s="797"/>
      <c r="Y123" s="772"/>
      <c r="Z123" s="773"/>
      <c r="AA123" s="772"/>
      <c r="AB123" s="798"/>
      <c r="AC123" s="774"/>
      <c r="AD123" s="772"/>
      <c r="AE123" s="286"/>
      <c r="AF123" s="286"/>
      <c r="AG123" s="287">
        <f t="shared" si="88"/>
        <v>0</v>
      </c>
      <c r="AH123" s="287">
        <f t="shared" si="89"/>
        <v>9</v>
      </c>
      <c r="AI123" s="287">
        <f t="shared" si="90"/>
        <v>0</v>
      </c>
      <c r="AJ123" s="799"/>
      <c r="AL123" s="776"/>
      <c r="AM123" s="777"/>
      <c r="AN123" s="778"/>
    </row>
    <row r="124" spans="1:40" s="779" customFormat="1" ht="84" customHeight="1" x14ac:dyDescent="0.3">
      <c r="A124" s="765"/>
      <c r="B124" s="766"/>
      <c r="C124" s="766"/>
      <c r="D124" s="766"/>
      <c r="E124" s="766"/>
      <c r="F124" s="767"/>
      <c r="G124" s="687"/>
      <c r="H124" s="1529"/>
      <c r="I124" s="793"/>
      <c r="J124" s="800" t="s">
        <v>160</v>
      </c>
      <c r="K124" s="801"/>
      <c r="L124" s="801"/>
      <c r="M124" s="801"/>
      <c r="N124" s="802"/>
      <c r="O124" s="801"/>
      <c r="P124" s="801"/>
      <c r="Q124" s="801"/>
      <c r="R124" s="803">
        <v>62298</v>
      </c>
      <c r="S124" s="804">
        <v>62298</v>
      </c>
      <c r="T124" s="804">
        <v>62298</v>
      </c>
      <c r="U124" s="804">
        <v>62298</v>
      </c>
      <c r="V124" s="804">
        <v>75645</v>
      </c>
      <c r="W124" s="805">
        <f t="shared" ref="W124" si="94">SUM(K124:V124)</f>
        <v>324837</v>
      </c>
      <c r="X124" s="797" t="s">
        <v>454</v>
      </c>
      <c r="Y124" s="772">
        <v>9</v>
      </c>
      <c r="Z124" s="806" t="s">
        <v>868</v>
      </c>
      <c r="AA124" s="772">
        <v>300</v>
      </c>
      <c r="AB124" s="798" t="s">
        <v>451</v>
      </c>
      <c r="AC124" s="806" t="s">
        <v>866</v>
      </c>
      <c r="AD124" s="772">
        <v>11</v>
      </c>
      <c r="AE124" s="286">
        <f t="shared" si="92"/>
        <v>36093</v>
      </c>
      <c r="AF124" s="286">
        <f t="shared" si="93"/>
        <v>324837</v>
      </c>
      <c r="AG124" s="287">
        <f t="shared" si="88"/>
        <v>0</v>
      </c>
      <c r="AH124" s="287">
        <f t="shared" si="89"/>
        <v>62298</v>
      </c>
      <c r="AI124" s="287">
        <f t="shared" si="90"/>
        <v>262539</v>
      </c>
      <c r="AJ124" s="807" t="s">
        <v>456</v>
      </c>
      <c r="AL124" s="776"/>
      <c r="AM124" s="777"/>
      <c r="AN124" s="778"/>
    </row>
    <row r="125" spans="1:40" s="779" customFormat="1" ht="53.25" customHeight="1" x14ac:dyDescent="0.3">
      <c r="A125" s="765"/>
      <c r="B125" s="766"/>
      <c r="C125" s="766"/>
      <c r="D125" s="766"/>
      <c r="E125" s="766"/>
      <c r="F125" s="767"/>
      <c r="G125" s="687"/>
      <c r="H125" s="1465" t="s">
        <v>944</v>
      </c>
      <c r="I125" s="793"/>
      <c r="J125" s="768" t="s">
        <v>70</v>
      </c>
      <c r="K125" s="794"/>
      <c r="L125" s="794"/>
      <c r="M125" s="794"/>
      <c r="N125" s="794"/>
      <c r="O125" s="794"/>
      <c r="P125" s="794"/>
      <c r="Q125" s="794"/>
      <c r="R125" s="808"/>
      <c r="S125" s="794"/>
      <c r="T125" s="794"/>
      <c r="U125" s="794"/>
      <c r="V125" s="794"/>
      <c r="W125" s="796"/>
      <c r="X125" s="797"/>
      <c r="Y125" s="772"/>
      <c r="Z125" s="773"/>
      <c r="AA125" s="772"/>
      <c r="AB125" s="798"/>
      <c r="AC125" s="774"/>
      <c r="AD125" s="772"/>
      <c r="AE125" s="286"/>
      <c r="AF125" s="286"/>
      <c r="AG125" s="287">
        <f t="shared" si="88"/>
        <v>0</v>
      </c>
      <c r="AH125" s="287">
        <f t="shared" si="89"/>
        <v>0</v>
      </c>
      <c r="AI125" s="287">
        <f t="shared" si="90"/>
        <v>0</v>
      </c>
      <c r="AJ125" s="799"/>
      <c r="AL125" s="776"/>
      <c r="AM125" s="777"/>
      <c r="AN125" s="778"/>
    </row>
    <row r="126" spans="1:40" s="779" customFormat="1" ht="53.25" customHeight="1" x14ac:dyDescent="0.3">
      <c r="A126" s="765"/>
      <c r="B126" s="766"/>
      <c r="C126" s="766"/>
      <c r="D126" s="766"/>
      <c r="E126" s="766"/>
      <c r="F126" s="767"/>
      <c r="G126" s="687"/>
      <c r="H126" s="1466"/>
      <c r="I126" s="793"/>
      <c r="J126" s="800" t="s">
        <v>160</v>
      </c>
      <c r="K126" s="801"/>
      <c r="L126" s="801"/>
      <c r="M126" s="681"/>
      <c r="N126" s="681"/>
      <c r="O126" s="804">
        <v>8500</v>
      </c>
      <c r="P126" s="804">
        <v>8500</v>
      </c>
      <c r="Q126" s="804">
        <v>8500</v>
      </c>
      <c r="R126" s="804">
        <v>8500</v>
      </c>
      <c r="S126" s="804">
        <v>8500</v>
      </c>
      <c r="T126" s="804">
        <v>8500</v>
      </c>
      <c r="U126" s="804">
        <v>8500</v>
      </c>
      <c r="V126" s="804">
        <v>8500</v>
      </c>
      <c r="W126" s="805">
        <f t="shared" ref="W126" si="95">SUM(K126:V126)</f>
        <v>68000</v>
      </c>
      <c r="X126" s="809" t="s">
        <v>965</v>
      </c>
      <c r="Y126" s="772">
        <v>1</v>
      </c>
      <c r="Z126" s="790" t="s">
        <v>941</v>
      </c>
      <c r="AA126" s="772">
        <v>29</v>
      </c>
      <c r="AB126" s="798" t="s">
        <v>451</v>
      </c>
      <c r="AC126" s="810" t="s">
        <v>866</v>
      </c>
      <c r="AD126" s="772">
        <v>11</v>
      </c>
      <c r="AE126" s="286">
        <f t="shared" si="92"/>
        <v>68000</v>
      </c>
      <c r="AF126" s="286">
        <f t="shared" si="93"/>
        <v>68000</v>
      </c>
      <c r="AG126" s="287">
        <f t="shared" si="88"/>
        <v>0</v>
      </c>
      <c r="AH126" s="287">
        <f t="shared" si="89"/>
        <v>34000</v>
      </c>
      <c r="AI126" s="287">
        <f t="shared" si="90"/>
        <v>34000</v>
      </c>
      <c r="AJ126" s="807" t="s">
        <v>456</v>
      </c>
      <c r="AL126" s="776"/>
      <c r="AM126" s="777"/>
      <c r="AN126" s="778"/>
    </row>
    <row r="127" spans="1:40" ht="56.25" customHeight="1" x14ac:dyDescent="0.3">
      <c r="A127" s="135"/>
      <c r="B127" s="136"/>
      <c r="C127" s="136"/>
      <c r="D127" s="136"/>
      <c r="E127" s="136"/>
      <c r="F127" s="137"/>
      <c r="G127" s="336"/>
      <c r="H127" s="1523" t="s">
        <v>474</v>
      </c>
      <c r="I127" s="1525" t="s">
        <v>470</v>
      </c>
      <c r="J127" s="821" t="s">
        <v>70</v>
      </c>
      <c r="K127" s="818">
        <v>0</v>
      </c>
      <c r="L127" s="818">
        <v>0</v>
      </c>
      <c r="M127" s="818">
        <f>1110+40</f>
        <v>1150</v>
      </c>
      <c r="N127" s="818">
        <f>760+120</f>
        <v>880</v>
      </c>
      <c r="O127" s="818">
        <f>570+120</f>
        <v>690</v>
      </c>
      <c r="P127" s="818">
        <f>120+480</f>
        <v>600</v>
      </c>
      <c r="Q127" s="818">
        <f>400+120</f>
        <v>520</v>
      </c>
      <c r="R127" s="818">
        <f>760+120</f>
        <v>880</v>
      </c>
      <c r="S127" s="818">
        <f>120+260</f>
        <v>380</v>
      </c>
      <c r="T127" s="818">
        <f>660+120</f>
        <v>780</v>
      </c>
      <c r="U127" s="818">
        <f>410+120</f>
        <v>530</v>
      </c>
      <c r="V127" s="818">
        <v>180</v>
      </c>
      <c r="W127" s="820">
        <f>V127+U127+T127+S127+R127+Q127+P127+O127+N127+M127+L127+K127</f>
        <v>6590</v>
      </c>
      <c r="X127" s="721"/>
      <c r="Y127" s="721"/>
      <c r="Z127" s="721"/>
      <c r="AA127" s="721"/>
      <c r="AB127" s="721"/>
      <c r="AC127" s="721"/>
      <c r="AD127" s="721"/>
      <c r="AE127" s="721"/>
      <c r="AF127" s="721"/>
      <c r="AG127" s="726">
        <f>SUMIF($J129:$J150,$J$127,AG129:AG150)</f>
        <v>200</v>
      </c>
      <c r="AH127" s="726">
        <f>SUMIF($J129:$J150,$J$127,AH129:AH150)</f>
        <v>918</v>
      </c>
      <c r="AI127" s="726">
        <f>SUMIF($J129:$J150,$J$127,AI129:AI150)</f>
        <v>370</v>
      </c>
      <c r="AJ127" s="727"/>
    </row>
    <row r="128" spans="1:40" s="281" customFormat="1" ht="56.25" customHeight="1" x14ac:dyDescent="0.3">
      <c r="A128" s="135"/>
      <c r="B128" s="136"/>
      <c r="C128" s="136"/>
      <c r="D128" s="136"/>
      <c r="E128" s="136"/>
      <c r="F128" s="137"/>
      <c r="G128" s="335"/>
      <c r="H128" s="1524"/>
      <c r="I128" s="1526"/>
      <c r="J128" s="723" t="s">
        <v>160</v>
      </c>
      <c r="K128" s="724">
        <f>SUMIF($J$129:$J$152,$J$128,K129:K152)</f>
        <v>21029</v>
      </c>
      <c r="L128" s="724">
        <f t="shared" ref="L128:V128" si="96">SUMIF($J$129:$J$152,$J$128,L129:L152)</f>
        <v>14186</v>
      </c>
      <c r="M128" s="724">
        <f t="shared" si="96"/>
        <v>14186</v>
      </c>
      <c r="N128" s="724">
        <f t="shared" si="96"/>
        <v>14186</v>
      </c>
      <c r="O128" s="724">
        <f t="shared" si="96"/>
        <v>112326</v>
      </c>
      <c r="P128" s="724">
        <f t="shared" si="96"/>
        <v>18086</v>
      </c>
      <c r="Q128" s="724">
        <f t="shared" si="96"/>
        <v>62432</v>
      </c>
      <c r="R128" s="724">
        <f t="shared" si="96"/>
        <v>43746</v>
      </c>
      <c r="S128" s="724">
        <f t="shared" si="96"/>
        <v>48746</v>
      </c>
      <c r="T128" s="724">
        <f t="shared" si="96"/>
        <v>73746</v>
      </c>
      <c r="U128" s="724">
        <f t="shared" si="96"/>
        <v>159986</v>
      </c>
      <c r="V128" s="724">
        <f t="shared" si="96"/>
        <v>21429</v>
      </c>
      <c r="W128" s="712">
        <f>SUM(K128:V128)</f>
        <v>604084</v>
      </c>
      <c r="X128" s="714"/>
      <c r="Y128" s="714"/>
      <c r="Z128" s="714"/>
      <c r="AA128" s="714"/>
      <c r="AB128" s="714"/>
      <c r="AC128" s="714"/>
      <c r="AD128" s="714"/>
      <c r="AE128" s="714"/>
      <c r="AF128" s="714"/>
      <c r="AG128" s="966">
        <f>SUMIF($J129:$J150,$J$128,AG129:AG150)</f>
        <v>63587</v>
      </c>
      <c r="AH128" s="966">
        <f>SUMIF($J129:$J150,$J$128,AH129:AH150)</f>
        <v>228390</v>
      </c>
      <c r="AI128" s="966">
        <f>SUMIF($J129:$J150,$J$128,AI129:AI150)</f>
        <v>291607</v>
      </c>
      <c r="AJ128" s="725"/>
    </row>
    <row r="129" spans="1:36" ht="72.75" customHeight="1" x14ac:dyDescent="0.3">
      <c r="A129" s="135"/>
      <c r="B129" s="136"/>
      <c r="C129" s="136"/>
      <c r="D129" s="136"/>
      <c r="E129" s="136"/>
      <c r="F129" s="137"/>
      <c r="G129" s="336"/>
      <c r="H129" s="1531" t="s">
        <v>476</v>
      </c>
      <c r="I129" s="1530" t="s">
        <v>470</v>
      </c>
      <c r="J129" s="593" t="s">
        <v>70</v>
      </c>
      <c r="K129" s="586"/>
      <c r="L129" s="586"/>
      <c r="M129" s="586"/>
      <c r="N129" s="586"/>
      <c r="O129" s="586"/>
      <c r="P129" s="586"/>
      <c r="Q129" s="586"/>
      <c r="R129" s="586"/>
      <c r="S129" s="586"/>
      <c r="T129" s="586"/>
      <c r="U129" s="586"/>
      <c r="V129" s="587"/>
      <c r="W129" s="965">
        <f t="shared" si="72"/>
        <v>0</v>
      </c>
      <c r="X129" s="760"/>
      <c r="Y129" s="760"/>
      <c r="Z129" s="760"/>
      <c r="AA129" s="760"/>
      <c r="AB129" s="760"/>
      <c r="AC129" s="760"/>
      <c r="AD129" s="760"/>
      <c r="AE129" s="760"/>
      <c r="AF129" s="760"/>
      <c r="AG129" s="760"/>
      <c r="AH129" s="760"/>
      <c r="AI129" s="760"/>
      <c r="AJ129" s="760"/>
    </row>
    <row r="130" spans="1:36" s="779" customFormat="1" ht="72.75" customHeight="1" x14ac:dyDescent="0.3">
      <c r="A130" s="765"/>
      <c r="B130" s="766"/>
      <c r="C130" s="766"/>
      <c r="D130" s="766"/>
      <c r="E130" s="766"/>
      <c r="F130" s="767"/>
      <c r="G130" s="335"/>
      <c r="H130" s="1531"/>
      <c r="I130" s="1530"/>
      <c r="J130" s="793" t="s">
        <v>160</v>
      </c>
      <c r="K130" s="764">
        <v>21029</v>
      </c>
      <c r="L130" s="764">
        <v>14186</v>
      </c>
      <c r="M130" s="764">
        <v>14186</v>
      </c>
      <c r="N130" s="764">
        <v>14186</v>
      </c>
      <c r="O130" s="764">
        <v>14186</v>
      </c>
      <c r="P130" s="764">
        <v>14186</v>
      </c>
      <c r="Q130" s="764">
        <v>27872</v>
      </c>
      <c r="R130" s="764">
        <v>14186</v>
      </c>
      <c r="S130" s="764">
        <v>14186</v>
      </c>
      <c r="T130" s="764">
        <v>14186</v>
      </c>
      <c r="U130" s="764">
        <v>14186</v>
      </c>
      <c r="V130" s="780">
        <v>21429</v>
      </c>
      <c r="W130" s="770">
        <f t="shared" si="72"/>
        <v>198004</v>
      </c>
      <c r="X130" s="909" t="s">
        <v>450</v>
      </c>
      <c r="Y130" s="772">
        <v>15</v>
      </c>
      <c r="Z130" s="773" t="s">
        <v>447</v>
      </c>
      <c r="AA130" s="910" t="s">
        <v>458</v>
      </c>
      <c r="AB130" s="773" t="s">
        <v>451</v>
      </c>
      <c r="AC130" s="774" t="s">
        <v>866</v>
      </c>
      <c r="AD130" s="772">
        <v>11</v>
      </c>
      <c r="AE130" s="867">
        <f>W130/Y130</f>
        <v>13200.266666666666</v>
      </c>
      <c r="AF130" s="867">
        <f>Y130*AE130</f>
        <v>198004</v>
      </c>
      <c r="AG130" s="869">
        <f t="shared" ref="AG130:AG152" si="97">SUM($K130:$N130)</f>
        <v>63587</v>
      </c>
      <c r="AH130" s="869">
        <f t="shared" ref="AH130:AH152" si="98">SUM($O130:$R130)</f>
        <v>70430</v>
      </c>
      <c r="AI130" s="869">
        <f t="shared" ref="AI130:AI152" si="99">SUM($S130:$V130)</f>
        <v>63987</v>
      </c>
      <c r="AJ130" s="912" t="s">
        <v>457</v>
      </c>
    </row>
    <row r="131" spans="1:36" s="779" customFormat="1" ht="29.25" customHeight="1" x14ac:dyDescent="0.3">
      <c r="A131" s="765"/>
      <c r="B131" s="766"/>
      <c r="C131" s="766"/>
      <c r="D131" s="766"/>
      <c r="E131" s="766"/>
      <c r="F131" s="767"/>
      <c r="G131" s="335"/>
      <c r="H131" s="1569" t="s">
        <v>870</v>
      </c>
      <c r="I131" s="1570" t="s">
        <v>470</v>
      </c>
      <c r="J131" s="793" t="s">
        <v>70</v>
      </c>
      <c r="K131" s="860"/>
      <c r="L131" s="860"/>
      <c r="M131" s="860"/>
      <c r="N131" s="860"/>
      <c r="O131" s="860">
        <v>88</v>
      </c>
      <c r="P131" s="860"/>
      <c r="Q131" s="860"/>
      <c r="R131" s="860"/>
      <c r="S131" s="860"/>
      <c r="T131" s="860"/>
      <c r="U131" s="860"/>
      <c r="V131" s="918"/>
      <c r="W131" s="919">
        <f t="shared" si="72"/>
        <v>88</v>
      </c>
      <c r="X131" s="920"/>
      <c r="Y131" s="841"/>
      <c r="Z131" s="841"/>
      <c r="AA131" s="841"/>
      <c r="AB131" s="841"/>
      <c r="AC131" s="841"/>
      <c r="AD131" s="841"/>
      <c r="AE131" s="867"/>
      <c r="AF131" s="867"/>
      <c r="AG131" s="869">
        <f t="shared" si="97"/>
        <v>0</v>
      </c>
      <c r="AH131" s="869">
        <f t="shared" si="98"/>
        <v>88</v>
      </c>
      <c r="AI131" s="869">
        <f t="shared" si="99"/>
        <v>0</v>
      </c>
      <c r="AJ131" s="1487" t="s">
        <v>486</v>
      </c>
    </row>
    <row r="132" spans="1:36" s="779" customFormat="1" ht="28.8" x14ac:dyDescent="0.3">
      <c r="A132" s="765"/>
      <c r="B132" s="766"/>
      <c r="C132" s="766"/>
      <c r="D132" s="766"/>
      <c r="E132" s="766"/>
      <c r="F132" s="767"/>
      <c r="G132" s="335"/>
      <c r="H132" s="1569"/>
      <c r="I132" s="1570"/>
      <c r="J132" s="793" t="s">
        <v>160</v>
      </c>
      <c r="K132" s="764"/>
      <c r="L132" s="764"/>
      <c r="M132" s="764"/>
      <c r="N132" s="764"/>
      <c r="O132" s="764">
        <v>4200</v>
      </c>
      <c r="P132" s="764"/>
      <c r="Q132" s="764"/>
      <c r="R132" s="764"/>
      <c r="S132" s="764"/>
      <c r="T132" s="764"/>
      <c r="U132" s="764">
        <v>4200</v>
      </c>
      <c r="V132" s="780"/>
      <c r="W132" s="770">
        <f t="shared" si="72"/>
        <v>8400</v>
      </c>
      <c r="X132" s="781" t="s">
        <v>487</v>
      </c>
      <c r="Y132" s="892">
        <v>20</v>
      </c>
      <c r="Z132" s="892" t="s">
        <v>454</v>
      </c>
      <c r="AA132" s="772">
        <v>133</v>
      </c>
      <c r="AB132" s="892" t="s">
        <v>451</v>
      </c>
      <c r="AC132" s="774" t="s">
        <v>866</v>
      </c>
      <c r="AD132" s="772">
        <v>11</v>
      </c>
      <c r="AE132" s="867">
        <f t="shared" ref="AE132:AE151" si="100">W132/Y132</f>
        <v>420</v>
      </c>
      <c r="AF132" s="867">
        <f t="shared" ref="AF132:AF151" si="101">Y132*AE132</f>
        <v>8400</v>
      </c>
      <c r="AG132" s="869">
        <f t="shared" si="97"/>
        <v>0</v>
      </c>
      <c r="AH132" s="869">
        <f t="shared" si="98"/>
        <v>4200</v>
      </c>
      <c r="AI132" s="869">
        <f t="shared" si="99"/>
        <v>4200</v>
      </c>
      <c r="AJ132" s="1488"/>
    </row>
    <row r="133" spans="1:36" s="779" customFormat="1" ht="28.8" x14ac:dyDescent="0.3">
      <c r="A133" s="765"/>
      <c r="B133" s="766"/>
      <c r="C133" s="766"/>
      <c r="D133" s="766"/>
      <c r="E133" s="766"/>
      <c r="F133" s="767"/>
      <c r="G133" s="335"/>
      <c r="H133" s="1569"/>
      <c r="I133" s="1570"/>
      <c r="J133" s="793" t="s">
        <v>160</v>
      </c>
      <c r="K133" s="764"/>
      <c r="L133" s="764"/>
      <c r="M133" s="764"/>
      <c r="N133" s="764"/>
      <c r="O133" s="764">
        <v>840</v>
      </c>
      <c r="P133" s="764"/>
      <c r="Q133" s="764"/>
      <c r="R133" s="764"/>
      <c r="S133" s="764"/>
      <c r="T133" s="764"/>
      <c r="U133" s="764">
        <v>840</v>
      </c>
      <c r="V133" s="780"/>
      <c r="W133" s="770">
        <f t="shared" si="72"/>
        <v>1680</v>
      </c>
      <c r="X133" s="898" t="s">
        <v>488</v>
      </c>
      <c r="Y133" s="772">
        <v>4</v>
      </c>
      <c r="Z133" s="892" t="s">
        <v>454</v>
      </c>
      <c r="AA133" s="772">
        <v>136</v>
      </c>
      <c r="AB133" s="892" t="s">
        <v>451</v>
      </c>
      <c r="AC133" s="774" t="s">
        <v>866</v>
      </c>
      <c r="AD133" s="772">
        <v>11</v>
      </c>
      <c r="AE133" s="867">
        <f t="shared" si="100"/>
        <v>420</v>
      </c>
      <c r="AF133" s="867">
        <f t="shared" si="101"/>
        <v>1680</v>
      </c>
      <c r="AG133" s="869">
        <f t="shared" si="97"/>
        <v>0</v>
      </c>
      <c r="AH133" s="869">
        <f t="shared" si="98"/>
        <v>840</v>
      </c>
      <c r="AI133" s="869">
        <f t="shared" si="99"/>
        <v>840</v>
      </c>
      <c r="AJ133" s="1488"/>
    </row>
    <row r="134" spans="1:36" s="779" customFormat="1" ht="28.8" x14ac:dyDescent="0.3">
      <c r="A134" s="765"/>
      <c r="B134" s="766"/>
      <c r="C134" s="766"/>
      <c r="D134" s="766"/>
      <c r="E134" s="766"/>
      <c r="F134" s="767"/>
      <c r="G134" s="335"/>
      <c r="H134" s="1569"/>
      <c r="I134" s="1570"/>
      <c r="J134" s="793" t="s">
        <v>160</v>
      </c>
      <c r="K134" s="764"/>
      <c r="L134" s="764"/>
      <c r="M134" s="764"/>
      <c r="N134" s="764"/>
      <c r="O134" s="764">
        <v>22000</v>
      </c>
      <c r="P134" s="764"/>
      <c r="Q134" s="764"/>
      <c r="R134" s="764"/>
      <c r="S134" s="764"/>
      <c r="T134" s="764"/>
      <c r="U134" s="764">
        <v>22000</v>
      </c>
      <c r="V134" s="780"/>
      <c r="W134" s="770">
        <f t="shared" si="72"/>
        <v>44000</v>
      </c>
      <c r="X134" s="781" t="s">
        <v>489</v>
      </c>
      <c r="Y134" s="772">
        <v>88</v>
      </c>
      <c r="Z134" s="892" t="s">
        <v>454</v>
      </c>
      <c r="AA134" s="772">
        <v>141</v>
      </c>
      <c r="AB134" s="892" t="s">
        <v>451</v>
      </c>
      <c r="AC134" s="774" t="s">
        <v>866</v>
      </c>
      <c r="AD134" s="772">
        <v>11</v>
      </c>
      <c r="AE134" s="867">
        <f t="shared" si="100"/>
        <v>500</v>
      </c>
      <c r="AF134" s="867">
        <f t="shared" si="101"/>
        <v>44000</v>
      </c>
      <c r="AG134" s="869">
        <f t="shared" si="97"/>
        <v>0</v>
      </c>
      <c r="AH134" s="869">
        <f t="shared" si="98"/>
        <v>22000</v>
      </c>
      <c r="AI134" s="869">
        <f t="shared" si="99"/>
        <v>22000</v>
      </c>
      <c r="AJ134" s="1488"/>
    </row>
    <row r="135" spans="1:36" s="779" customFormat="1" ht="36.75" customHeight="1" x14ac:dyDescent="0.3">
      <c r="A135" s="765"/>
      <c r="B135" s="766"/>
      <c r="C135" s="766"/>
      <c r="D135" s="766"/>
      <c r="E135" s="766"/>
      <c r="F135" s="767"/>
      <c r="G135" s="335"/>
      <c r="H135" s="1569"/>
      <c r="I135" s="1570"/>
      <c r="J135" s="793" t="s">
        <v>160</v>
      </c>
      <c r="K135" s="764"/>
      <c r="L135" s="764"/>
      <c r="M135" s="764"/>
      <c r="N135" s="764"/>
      <c r="O135" s="764">
        <v>70000</v>
      </c>
      <c r="P135" s="764"/>
      <c r="Q135" s="764"/>
      <c r="R135" s="764"/>
      <c r="S135" s="764"/>
      <c r="T135" s="764"/>
      <c r="U135" s="764">
        <v>70000</v>
      </c>
      <c r="V135" s="780"/>
      <c r="W135" s="770">
        <f t="shared" ref="W135:W138" si="102">SUM(K135:V135)</f>
        <v>140000</v>
      </c>
      <c r="X135" s="924" t="s">
        <v>490</v>
      </c>
      <c r="Y135" s="772">
        <v>2</v>
      </c>
      <c r="Z135" s="892" t="s">
        <v>454</v>
      </c>
      <c r="AA135" s="772">
        <v>185</v>
      </c>
      <c r="AB135" s="925">
        <v>75203</v>
      </c>
      <c r="AC135" s="892">
        <v>89244</v>
      </c>
      <c r="AD135" s="772">
        <v>11</v>
      </c>
      <c r="AE135" s="867">
        <f t="shared" si="100"/>
        <v>70000</v>
      </c>
      <c r="AF135" s="867">
        <f t="shared" si="101"/>
        <v>140000</v>
      </c>
      <c r="AG135" s="869">
        <f t="shared" si="97"/>
        <v>0</v>
      </c>
      <c r="AH135" s="869">
        <f t="shared" si="98"/>
        <v>70000</v>
      </c>
      <c r="AI135" s="869">
        <f t="shared" si="99"/>
        <v>70000</v>
      </c>
      <c r="AJ135" s="1488"/>
    </row>
    <row r="136" spans="1:36" s="779" customFormat="1" ht="28.8" x14ac:dyDescent="0.3">
      <c r="A136" s="765"/>
      <c r="B136" s="766"/>
      <c r="C136" s="766"/>
      <c r="D136" s="766"/>
      <c r="E136" s="766"/>
      <c r="F136" s="767"/>
      <c r="G136" s="335"/>
      <c r="H136" s="1569"/>
      <c r="I136" s="1570"/>
      <c r="J136" s="793" t="s">
        <v>160</v>
      </c>
      <c r="K136" s="764"/>
      <c r="L136" s="764"/>
      <c r="M136" s="764"/>
      <c r="N136" s="764"/>
      <c r="O136" s="764">
        <v>500</v>
      </c>
      <c r="P136" s="764"/>
      <c r="Q136" s="764"/>
      <c r="R136" s="764"/>
      <c r="S136" s="764"/>
      <c r="T136" s="764"/>
      <c r="U136" s="764">
        <v>500</v>
      </c>
      <c r="V136" s="780"/>
      <c r="W136" s="770">
        <f t="shared" si="102"/>
        <v>1000</v>
      </c>
      <c r="X136" s="781" t="s">
        <v>491</v>
      </c>
      <c r="Y136" s="772">
        <v>6</v>
      </c>
      <c r="Z136" s="892" t="s">
        <v>454</v>
      </c>
      <c r="AA136" s="772">
        <v>196</v>
      </c>
      <c r="AB136" s="892" t="s">
        <v>451</v>
      </c>
      <c r="AC136" s="774" t="s">
        <v>866</v>
      </c>
      <c r="AD136" s="772">
        <v>11</v>
      </c>
      <c r="AE136" s="867">
        <f t="shared" si="100"/>
        <v>166.66666666666666</v>
      </c>
      <c r="AF136" s="867">
        <f t="shared" si="101"/>
        <v>1000</v>
      </c>
      <c r="AG136" s="869">
        <f t="shared" si="97"/>
        <v>0</v>
      </c>
      <c r="AH136" s="869">
        <f t="shared" si="98"/>
        <v>500</v>
      </c>
      <c r="AI136" s="869">
        <f t="shared" si="99"/>
        <v>500</v>
      </c>
      <c r="AJ136" s="1488"/>
    </row>
    <row r="137" spans="1:36" s="779" customFormat="1" ht="28.8" x14ac:dyDescent="0.3">
      <c r="A137" s="765"/>
      <c r="B137" s="766"/>
      <c r="C137" s="766"/>
      <c r="D137" s="766"/>
      <c r="E137" s="766"/>
      <c r="F137" s="767"/>
      <c r="G137" s="335"/>
      <c r="H137" s="1569"/>
      <c r="I137" s="1570"/>
      <c r="J137" s="793" t="s">
        <v>160</v>
      </c>
      <c r="K137" s="764"/>
      <c r="L137" s="764"/>
      <c r="M137" s="764"/>
      <c r="N137" s="764"/>
      <c r="O137" s="764">
        <v>600</v>
      </c>
      <c r="P137" s="764"/>
      <c r="Q137" s="764"/>
      <c r="R137" s="764"/>
      <c r="S137" s="764"/>
      <c r="T137" s="764"/>
      <c r="U137" s="764">
        <v>600</v>
      </c>
      <c r="V137" s="780"/>
      <c r="W137" s="770">
        <f t="shared" si="102"/>
        <v>1200</v>
      </c>
      <c r="X137" s="781" t="s">
        <v>492</v>
      </c>
      <c r="Y137" s="772">
        <v>12</v>
      </c>
      <c r="Z137" s="892" t="s">
        <v>485</v>
      </c>
      <c r="AA137" s="772">
        <v>262</v>
      </c>
      <c r="AB137" s="785">
        <v>33102</v>
      </c>
      <c r="AC137" s="773">
        <v>36183</v>
      </c>
      <c r="AD137" s="772">
        <v>11</v>
      </c>
      <c r="AE137" s="867">
        <f t="shared" si="100"/>
        <v>100</v>
      </c>
      <c r="AF137" s="867">
        <f t="shared" si="101"/>
        <v>1200</v>
      </c>
      <c r="AG137" s="869">
        <f t="shared" si="97"/>
        <v>0</v>
      </c>
      <c r="AH137" s="869">
        <f t="shared" si="98"/>
        <v>600</v>
      </c>
      <c r="AI137" s="869">
        <f t="shared" si="99"/>
        <v>600</v>
      </c>
      <c r="AJ137" s="1488"/>
    </row>
    <row r="138" spans="1:36" s="779" customFormat="1" ht="28.8" x14ac:dyDescent="0.3">
      <c r="A138" s="765"/>
      <c r="B138" s="766"/>
      <c r="C138" s="766"/>
      <c r="D138" s="766"/>
      <c r="E138" s="766"/>
      <c r="F138" s="767"/>
      <c r="G138" s="335"/>
      <c r="H138" s="1569"/>
      <c r="I138" s="1570"/>
      <c r="J138" s="793" t="s">
        <v>160</v>
      </c>
      <c r="K138" s="764"/>
      <c r="L138" s="764"/>
      <c r="M138" s="902"/>
      <c r="N138" s="902"/>
      <c r="O138" s="764"/>
      <c r="P138" s="764"/>
      <c r="Q138" s="764"/>
      <c r="R138" s="764"/>
      <c r="S138" s="764"/>
      <c r="T138" s="764"/>
      <c r="U138" s="764"/>
      <c r="V138" s="780"/>
      <c r="W138" s="770">
        <f t="shared" si="102"/>
        <v>0</v>
      </c>
      <c r="X138" s="809" t="s">
        <v>966</v>
      </c>
      <c r="Y138" s="772">
        <v>70</v>
      </c>
      <c r="Z138" s="892" t="s">
        <v>463</v>
      </c>
      <c r="AA138" s="772">
        <v>268</v>
      </c>
      <c r="AB138" s="785">
        <v>43843</v>
      </c>
      <c r="AC138" s="785">
        <v>50454</v>
      </c>
      <c r="AD138" s="772">
        <v>11</v>
      </c>
      <c r="AE138" s="867">
        <f t="shared" si="100"/>
        <v>0</v>
      </c>
      <c r="AF138" s="867">
        <f t="shared" si="101"/>
        <v>0</v>
      </c>
      <c r="AG138" s="869">
        <f t="shared" si="97"/>
        <v>0</v>
      </c>
      <c r="AH138" s="869">
        <f t="shared" si="98"/>
        <v>0</v>
      </c>
      <c r="AI138" s="869">
        <f t="shared" si="99"/>
        <v>0</v>
      </c>
      <c r="AJ138" s="1488"/>
    </row>
    <row r="139" spans="1:36" s="779" customFormat="1" ht="28.8" x14ac:dyDescent="0.3">
      <c r="A139" s="765"/>
      <c r="B139" s="766"/>
      <c r="C139" s="766"/>
      <c r="D139" s="766"/>
      <c r="E139" s="766"/>
      <c r="F139" s="767"/>
      <c r="G139" s="335"/>
      <c r="H139" s="1569"/>
      <c r="I139" s="1570"/>
      <c r="J139" s="793" t="s">
        <v>160</v>
      </c>
      <c r="K139" s="764"/>
      <c r="L139" s="764"/>
      <c r="M139" s="764"/>
      <c r="N139" s="764"/>
      <c r="O139" s="764"/>
      <c r="P139" s="764"/>
      <c r="Q139" s="764"/>
      <c r="R139" s="764"/>
      <c r="S139" s="764"/>
      <c r="T139" s="764"/>
      <c r="U139" s="764">
        <v>500</v>
      </c>
      <c r="V139" s="780"/>
      <c r="W139" s="770">
        <f t="shared" si="72"/>
        <v>500</v>
      </c>
      <c r="X139" s="781" t="s">
        <v>493</v>
      </c>
      <c r="Y139" s="772">
        <v>100</v>
      </c>
      <c r="Z139" s="892" t="s">
        <v>463</v>
      </c>
      <c r="AA139" s="772">
        <v>289</v>
      </c>
      <c r="AB139" s="785">
        <v>122406</v>
      </c>
      <c r="AC139" s="785">
        <v>142682</v>
      </c>
      <c r="AD139" s="772">
        <v>11</v>
      </c>
      <c r="AE139" s="867">
        <f t="shared" si="100"/>
        <v>5</v>
      </c>
      <c r="AF139" s="867">
        <f t="shared" si="101"/>
        <v>500</v>
      </c>
      <c r="AG139" s="869">
        <f t="shared" si="97"/>
        <v>0</v>
      </c>
      <c r="AH139" s="869">
        <f t="shared" si="98"/>
        <v>0</v>
      </c>
      <c r="AI139" s="869">
        <f t="shared" si="99"/>
        <v>500</v>
      </c>
      <c r="AJ139" s="1488"/>
    </row>
    <row r="140" spans="1:36" s="779" customFormat="1" ht="28.8" x14ac:dyDescent="0.3">
      <c r="A140" s="765"/>
      <c r="B140" s="766"/>
      <c r="C140" s="766"/>
      <c r="D140" s="766"/>
      <c r="E140" s="766"/>
      <c r="F140" s="767"/>
      <c r="G140" s="335"/>
      <c r="H140" s="1569"/>
      <c r="I140" s="1570"/>
      <c r="J140" s="793" t="s">
        <v>160</v>
      </c>
      <c r="K140" s="764"/>
      <c r="L140" s="764"/>
      <c r="M140" s="764"/>
      <c r="N140" s="764"/>
      <c r="O140" s="764"/>
      <c r="P140" s="764"/>
      <c r="Q140" s="764"/>
      <c r="R140" s="764"/>
      <c r="S140" s="764"/>
      <c r="T140" s="764"/>
      <c r="U140" s="764">
        <v>100</v>
      </c>
      <c r="V140" s="780"/>
      <c r="W140" s="770">
        <f t="shared" si="72"/>
        <v>100</v>
      </c>
      <c r="X140" s="898" t="s">
        <v>467</v>
      </c>
      <c r="Y140" s="772">
        <v>14</v>
      </c>
      <c r="Z140" s="892" t="s">
        <v>463</v>
      </c>
      <c r="AA140" s="772">
        <v>299</v>
      </c>
      <c r="AB140" s="785">
        <v>33025</v>
      </c>
      <c r="AC140" s="892">
        <v>36062</v>
      </c>
      <c r="AD140" s="772">
        <v>11</v>
      </c>
      <c r="AE140" s="867">
        <f t="shared" si="100"/>
        <v>7.1428571428571432</v>
      </c>
      <c r="AF140" s="867">
        <f t="shared" si="101"/>
        <v>100</v>
      </c>
      <c r="AG140" s="869">
        <f t="shared" si="97"/>
        <v>0</v>
      </c>
      <c r="AH140" s="869">
        <f t="shared" si="98"/>
        <v>0</v>
      </c>
      <c r="AI140" s="869">
        <f t="shared" si="99"/>
        <v>100</v>
      </c>
      <c r="AJ140" s="1489"/>
    </row>
    <row r="141" spans="1:36" s="779" customFormat="1" ht="72.75" customHeight="1" x14ac:dyDescent="0.3">
      <c r="A141" s="765"/>
      <c r="B141" s="766"/>
      <c r="C141" s="766"/>
      <c r="D141" s="766"/>
      <c r="E141" s="766"/>
      <c r="F141" s="767"/>
      <c r="G141" s="335"/>
      <c r="H141" s="1560" t="s">
        <v>1003</v>
      </c>
      <c r="I141" s="944"/>
      <c r="J141" s="793" t="s">
        <v>1039</v>
      </c>
      <c r="K141" s="764"/>
      <c r="L141" s="764"/>
      <c r="M141" s="764">
        <v>40</v>
      </c>
      <c r="N141" s="764">
        <v>120</v>
      </c>
      <c r="O141" s="764">
        <v>120</v>
      </c>
      <c r="P141" s="969">
        <v>120</v>
      </c>
      <c r="Q141" s="764">
        <v>120</v>
      </c>
      <c r="R141" s="764">
        <v>120</v>
      </c>
      <c r="S141" s="764">
        <v>120</v>
      </c>
      <c r="T141" s="764">
        <v>120</v>
      </c>
      <c r="U141" s="764">
        <v>120</v>
      </c>
      <c r="V141" s="780"/>
      <c r="W141" s="770">
        <f>V141+U141+T141+S141+R141+Q141+P141+O141+N141+M141+L141+K141</f>
        <v>1000</v>
      </c>
      <c r="X141" s="949"/>
      <c r="Y141" s="772"/>
      <c r="Z141" s="773"/>
      <c r="AA141" s="910"/>
      <c r="AB141" s="773"/>
      <c r="AC141" s="774"/>
      <c r="AD141" s="772"/>
      <c r="AE141" s="867"/>
      <c r="AF141" s="867"/>
      <c r="AG141" s="869"/>
      <c r="AH141" s="869"/>
      <c r="AI141" s="869"/>
      <c r="AJ141" s="1563" t="s">
        <v>1001</v>
      </c>
    </row>
    <row r="142" spans="1:36" ht="72.75" customHeight="1" x14ac:dyDescent="0.3">
      <c r="A142" s="135"/>
      <c r="B142" s="136"/>
      <c r="C142" s="136"/>
      <c r="D142" s="136"/>
      <c r="E142" s="136"/>
      <c r="F142" s="137"/>
      <c r="G142" s="336"/>
      <c r="H142" s="1561"/>
      <c r="I142" s="968"/>
      <c r="J142" s="593" t="s">
        <v>70</v>
      </c>
      <c r="K142" s="586"/>
      <c r="L142" s="586"/>
      <c r="M142" s="586"/>
      <c r="N142" s="586"/>
      <c r="O142" s="586"/>
      <c r="P142" s="586"/>
      <c r="Q142" s="586"/>
      <c r="R142" s="586"/>
      <c r="S142" s="586"/>
      <c r="T142" s="586"/>
      <c r="U142" s="586"/>
      <c r="V142" s="587"/>
      <c r="W142" s="965">
        <f t="shared" ref="W142:W144" si="103">SUM(K142:V142)</f>
        <v>0</v>
      </c>
      <c r="X142" s="967" t="s">
        <v>1001</v>
      </c>
      <c r="Y142" s="760"/>
      <c r="Z142" s="760"/>
      <c r="AA142" s="760"/>
      <c r="AB142" s="760"/>
      <c r="AC142" s="760"/>
      <c r="AD142" s="760"/>
      <c r="AE142" s="760"/>
      <c r="AF142" s="760"/>
      <c r="AG142" s="760"/>
      <c r="AH142" s="760"/>
      <c r="AI142" s="760"/>
      <c r="AJ142" s="1564"/>
    </row>
    <row r="143" spans="1:36" s="779" customFormat="1" ht="72.75" customHeight="1" x14ac:dyDescent="0.3">
      <c r="A143" s="765"/>
      <c r="B143" s="766"/>
      <c r="C143" s="766"/>
      <c r="D143" s="766"/>
      <c r="E143" s="766"/>
      <c r="F143" s="767"/>
      <c r="G143" s="335"/>
      <c r="H143" s="1561"/>
      <c r="I143" s="968"/>
      <c r="J143" s="793" t="s">
        <v>1039</v>
      </c>
      <c r="K143" s="764"/>
      <c r="L143" s="764"/>
      <c r="M143" s="970">
        <v>1110</v>
      </c>
      <c r="N143" s="35">
        <v>560</v>
      </c>
      <c r="O143" s="970">
        <v>340</v>
      </c>
      <c r="P143" s="970">
        <v>280</v>
      </c>
      <c r="Q143" s="971">
        <v>200</v>
      </c>
      <c r="R143" s="971">
        <v>560</v>
      </c>
      <c r="S143" s="971">
        <v>60</v>
      </c>
      <c r="T143" s="971">
        <v>560</v>
      </c>
      <c r="U143" s="970">
        <v>340</v>
      </c>
      <c r="V143" s="970">
        <v>180</v>
      </c>
      <c r="W143" s="770">
        <f>V143+U143+T143+S143+R143+Q143+P143+O143+N143+M143+L143+K143</f>
        <v>4190</v>
      </c>
      <c r="X143" s="949"/>
      <c r="Y143" s="772"/>
      <c r="Z143" s="773"/>
      <c r="AA143" s="910"/>
      <c r="AB143" s="773"/>
      <c r="AC143" s="774"/>
      <c r="AD143" s="772"/>
      <c r="AE143" s="867"/>
      <c r="AF143" s="867"/>
      <c r="AG143" s="869"/>
      <c r="AH143" s="869"/>
      <c r="AI143" s="869">
        <f t="shared" si="99"/>
        <v>1140</v>
      </c>
      <c r="AJ143" s="1565" t="s">
        <v>1040</v>
      </c>
    </row>
    <row r="144" spans="1:36" s="779" customFormat="1" ht="72.75" customHeight="1" x14ac:dyDescent="0.3">
      <c r="A144" s="765"/>
      <c r="B144" s="766"/>
      <c r="C144" s="766"/>
      <c r="D144" s="766"/>
      <c r="E144" s="766"/>
      <c r="F144" s="767"/>
      <c r="G144" s="335"/>
      <c r="H144" s="1562"/>
      <c r="I144" s="968"/>
      <c r="J144" s="793" t="s">
        <v>160</v>
      </c>
      <c r="K144" s="764"/>
      <c r="L144" s="764"/>
      <c r="M144" s="764"/>
      <c r="N144" s="764"/>
      <c r="O144" s="764"/>
      <c r="P144" s="764"/>
      <c r="Q144" s="764"/>
      <c r="R144" s="764"/>
      <c r="S144" s="764"/>
      <c r="T144" s="764"/>
      <c r="U144" s="764"/>
      <c r="V144" s="780"/>
      <c r="W144" s="770">
        <f t="shared" si="103"/>
        <v>0</v>
      </c>
      <c r="X144" s="949" t="s">
        <v>1002</v>
      </c>
      <c r="Y144" s="772">
        <v>15</v>
      </c>
      <c r="Z144" s="773" t="s">
        <v>447</v>
      </c>
      <c r="AA144" s="910" t="s">
        <v>458</v>
      </c>
      <c r="AB144" s="773" t="s">
        <v>451</v>
      </c>
      <c r="AC144" s="774" t="s">
        <v>866</v>
      </c>
      <c r="AD144" s="772">
        <v>11</v>
      </c>
      <c r="AE144" s="867">
        <f>W144/Y144</f>
        <v>0</v>
      </c>
      <c r="AF144" s="867">
        <f>Y144*AE144</f>
        <v>0</v>
      </c>
      <c r="AG144" s="869">
        <f t="shared" si="97"/>
        <v>0</v>
      </c>
      <c r="AH144" s="869">
        <f t="shared" si="98"/>
        <v>0</v>
      </c>
      <c r="AI144" s="869">
        <f t="shared" si="99"/>
        <v>0</v>
      </c>
      <c r="AJ144" s="1566"/>
    </row>
    <row r="145" spans="1:37" s="779" customFormat="1" ht="30.75" customHeight="1" x14ac:dyDescent="0.3">
      <c r="A145" s="765"/>
      <c r="B145" s="766"/>
      <c r="C145" s="766"/>
      <c r="D145" s="766"/>
      <c r="E145" s="766"/>
      <c r="F145" s="767"/>
      <c r="G145" s="687"/>
      <c r="H145" s="1502" t="s">
        <v>982</v>
      </c>
      <c r="I145" s="1501" t="s">
        <v>470</v>
      </c>
      <c r="J145" s="793" t="s">
        <v>70</v>
      </c>
      <c r="K145" s="860"/>
      <c r="L145" s="860"/>
      <c r="M145" s="841"/>
      <c r="N145" s="35">
        <v>200</v>
      </c>
      <c r="O145" s="35">
        <v>230</v>
      </c>
      <c r="P145" s="35">
        <v>200</v>
      </c>
      <c r="Q145" s="35">
        <v>200</v>
      </c>
      <c r="R145" s="35">
        <v>200</v>
      </c>
      <c r="S145" s="35">
        <v>200</v>
      </c>
      <c r="T145" s="35">
        <v>100</v>
      </c>
      <c r="U145" s="35">
        <v>70</v>
      </c>
      <c r="V145" s="918"/>
      <c r="W145" s="919">
        <f t="shared" ref="W145:W148" si="104">SUM(K145:V145)</f>
        <v>1400</v>
      </c>
      <c r="X145" s="920"/>
      <c r="Y145" s="841"/>
      <c r="Z145" s="841"/>
      <c r="AA145" s="921"/>
      <c r="AB145" s="921"/>
      <c r="AC145" s="921"/>
      <c r="AD145" s="841"/>
      <c r="AE145" s="867"/>
      <c r="AF145" s="867"/>
      <c r="AG145" s="869">
        <f t="shared" si="97"/>
        <v>200</v>
      </c>
      <c r="AH145" s="869">
        <f t="shared" si="98"/>
        <v>830</v>
      </c>
      <c r="AI145" s="869">
        <f t="shared" si="99"/>
        <v>370</v>
      </c>
      <c r="AJ145" s="1483" t="s">
        <v>496</v>
      </c>
    </row>
    <row r="146" spans="1:37" s="779" customFormat="1" ht="45" customHeight="1" x14ac:dyDescent="0.3">
      <c r="A146" s="765"/>
      <c r="B146" s="766"/>
      <c r="C146" s="766"/>
      <c r="D146" s="766"/>
      <c r="E146" s="766"/>
      <c r="F146" s="767"/>
      <c r="G146" s="687"/>
      <c r="H146" s="1502"/>
      <c r="I146" s="1501"/>
      <c r="J146" s="793" t="s">
        <v>160</v>
      </c>
      <c r="K146" s="850"/>
      <c r="L146" s="850"/>
      <c r="M146" s="841"/>
      <c r="N146" s="850"/>
      <c r="O146" s="850"/>
      <c r="P146" s="850"/>
      <c r="Q146" s="850">
        <f>3000+3000</f>
        <v>6000</v>
      </c>
      <c r="R146" s="850">
        <f>3000+1800</f>
        <v>4800</v>
      </c>
      <c r="S146" s="850">
        <f>3000+3000</f>
        <v>6000</v>
      </c>
      <c r="T146" s="850">
        <f>6000+6000</f>
        <v>12000</v>
      </c>
      <c r="U146" s="850">
        <f>6000+3000</f>
        <v>9000</v>
      </c>
      <c r="V146" s="913"/>
      <c r="W146" s="770">
        <f>SUM(K146:V146)</f>
        <v>37800</v>
      </c>
      <c r="X146" s="914" t="s">
        <v>984</v>
      </c>
      <c r="Y146" s="772">
        <v>1260</v>
      </c>
      <c r="Z146" s="892" t="s">
        <v>463</v>
      </c>
      <c r="AA146" s="772">
        <v>211</v>
      </c>
      <c r="AB146" s="773">
        <v>3552</v>
      </c>
      <c r="AC146" s="915">
        <v>4223</v>
      </c>
      <c r="AD146" s="892">
        <v>11</v>
      </c>
      <c r="AE146" s="867">
        <f t="shared" si="100"/>
        <v>30</v>
      </c>
      <c r="AF146" s="867">
        <f t="shared" si="101"/>
        <v>37800</v>
      </c>
      <c r="AG146" s="869">
        <f t="shared" si="97"/>
        <v>0</v>
      </c>
      <c r="AH146" s="869">
        <f t="shared" si="98"/>
        <v>10800</v>
      </c>
      <c r="AI146" s="869">
        <f t="shared" si="99"/>
        <v>27000</v>
      </c>
      <c r="AJ146" s="1484"/>
    </row>
    <row r="147" spans="1:37" s="779" customFormat="1" ht="45" customHeight="1" x14ac:dyDescent="0.3">
      <c r="A147" s="765"/>
      <c r="B147" s="766"/>
      <c r="C147" s="766"/>
      <c r="D147" s="766"/>
      <c r="E147" s="766"/>
      <c r="F147" s="767"/>
      <c r="G147" s="687"/>
      <c r="H147" s="1502"/>
      <c r="I147" s="1501"/>
      <c r="J147" s="793" t="s">
        <v>160</v>
      </c>
      <c r="K147" s="850"/>
      <c r="L147" s="850"/>
      <c r="M147" s="841"/>
      <c r="N147" s="850"/>
      <c r="O147" s="850"/>
      <c r="P147" s="850"/>
      <c r="Q147" s="850">
        <f>4500+4500</f>
        <v>9000</v>
      </c>
      <c r="R147" s="850">
        <f>2700+4500</f>
        <v>7200</v>
      </c>
      <c r="S147" s="850">
        <f>4500+4500</f>
        <v>9000</v>
      </c>
      <c r="T147" s="850">
        <f>9000+9000</f>
        <v>18000</v>
      </c>
      <c r="U147" s="850">
        <f>9000+4500</f>
        <v>13500</v>
      </c>
      <c r="V147" s="913"/>
      <c r="W147" s="770">
        <f t="shared" ref="W147" si="105">SUM(K147:V147)</f>
        <v>56700</v>
      </c>
      <c r="X147" s="914" t="s">
        <v>983</v>
      </c>
      <c r="Y147" s="772">
        <v>1260</v>
      </c>
      <c r="Z147" s="892" t="s">
        <v>495</v>
      </c>
      <c r="AA147" s="772">
        <v>211</v>
      </c>
      <c r="AB147" s="915">
        <v>60836</v>
      </c>
      <c r="AC147" s="892">
        <v>73628</v>
      </c>
      <c r="AD147" s="772">
        <v>11</v>
      </c>
      <c r="AE147" s="867">
        <f t="shared" ref="AE147:AE148" si="106">W147/Y147</f>
        <v>45</v>
      </c>
      <c r="AF147" s="867">
        <f t="shared" ref="AF147" si="107">Y147*AE147</f>
        <v>56700</v>
      </c>
      <c r="AG147" s="869">
        <f t="shared" si="97"/>
        <v>0</v>
      </c>
      <c r="AH147" s="869">
        <f t="shared" si="98"/>
        <v>16200</v>
      </c>
      <c r="AI147" s="869">
        <f t="shared" si="99"/>
        <v>40500</v>
      </c>
      <c r="AJ147" s="1484"/>
    </row>
    <row r="148" spans="1:37" s="779" customFormat="1" ht="45" customHeight="1" x14ac:dyDescent="0.3">
      <c r="A148" s="765"/>
      <c r="B148" s="766"/>
      <c r="C148" s="766"/>
      <c r="D148" s="766"/>
      <c r="E148" s="766"/>
      <c r="F148" s="767"/>
      <c r="G148" s="687"/>
      <c r="H148" s="1502"/>
      <c r="I148" s="1501"/>
      <c r="J148" s="793" t="s">
        <v>160</v>
      </c>
      <c r="K148" s="850"/>
      <c r="L148" s="850"/>
      <c r="M148" s="841"/>
      <c r="N148" s="850"/>
      <c r="O148" s="850"/>
      <c r="P148" s="850">
        <v>3900</v>
      </c>
      <c r="Q148" s="850"/>
      <c r="R148" s="850"/>
      <c r="S148" s="850"/>
      <c r="T148" s="850"/>
      <c r="U148" s="850"/>
      <c r="V148" s="913"/>
      <c r="W148" s="770">
        <f t="shared" si="104"/>
        <v>3900</v>
      </c>
      <c r="X148" s="914" t="s">
        <v>985</v>
      </c>
      <c r="Y148" s="772">
        <v>1300</v>
      </c>
      <c r="Z148" s="892" t="s">
        <v>495</v>
      </c>
      <c r="AA148" s="772">
        <v>219</v>
      </c>
      <c r="AB148" s="915">
        <v>60836</v>
      </c>
      <c r="AC148" s="892">
        <v>73628</v>
      </c>
      <c r="AD148" s="772">
        <v>11</v>
      </c>
      <c r="AE148" s="867">
        <f t="shared" si="106"/>
        <v>3</v>
      </c>
      <c r="AF148" s="867">
        <f t="shared" si="101"/>
        <v>3900</v>
      </c>
      <c r="AG148" s="869">
        <f t="shared" si="97"/>
        <v>0</v>
      </c>
      <c r="AH148" s="869">
        <f t="shared" si="98"/>
        <v>3900</v>
      </c>
      <c r="AI148" s="869">
        <f t="shared" si="99"/>
        <v>0</v>
      </c>
      <c r="AJ148" s="1484"/>
    </row>
    <row r="149" spans="1:37" s="779" customFormat="1" ht="45" customHeight="1" x14ac:dyDescent="0.3">
      <c r="A149" s="765"/>
      <c r="B149" s="766"/>
      <c r="C149" s="766"/>
      <c r="D149" s="766"/>
      <c r="E149" s="766"/>
      <c r="F149" s="767"/>
      <c r="G149" s="687"/>
      <c r="H149" s="1502"/>
      <c r="I149" s="1501"/>
      <c r="J149" s="793" t="s">
        <v>160</v>
      </c>
      <c r="K149" s="850"/>
      <c r="L149" s="850"/>
      <c r="M149" s="841"/>
      <c r="N149" s="850"/>
      <c r="O149" s="850"/>
      <c r="P149" s="850"/>
      <c r="Q149" s="850">
        <f>5000+5000</f>
        <v>10000</v>
      </c>
      <c r="R149" s="850">
        <f>3000+5000</f>
        <v>8000</v>
      </c>
      <c r="S149" s="850">
        <f>5000+5000</f>
        <v>10000</v>
      </c>
      <c r="T149" s="850">
        <f>10000+10000</f>
        <v>20000</v>
      </c>
      <c r="U149" s="850">
        <f>10000+5000</f>
        <v>15000</v>
      </c>
      <c r="V149" s="913"/>
      <c r="W149" s="770">
        <f>SUM(K149:V149)</f>
        <v>63000</v>
      </c>
      <c r="X149" s="914" t="s">
        <v>986</v>
      </c>
      <c r="Y149" s="772">
        <v>1260</v>
      </c>
      <c r="Z149" s="892" t="s">
        <v>494</v>
      </c>
      <c r="AA149" s="772">
        <v>219</v>
      </c>
      <c r="AB149" s="915">
        <v>51676</v>
      </c>
      <c r="AC149" s="892">
        <v>60915</v>
      </c>
      <c r="AD149" s="772">
        <v>11</v>
      </c>
      <c r="AE149" s="867">
        <f t="shared" si="100"/>
        <v>50</v>
      </c>
      <c r="AF149" s="867">
        <f t="shared" si="101"/>
        <v>63000</v>
      </c>
      <c r="AG149" s="869">
        <f t="shared" si="97"/>
        <v>0</v>
      </c>
      <c r="AH149" s="869">
        <f t="shared" si="98"/>
        <v>18000</v>
      </c>
      <c r="AI149" s="869">
        <f t="shared" si="99"/>
        <v>45000</v>
      </c>
      <c r="AJ149" s="1484"/>
    </row>
    <row r="150" spans="1:37" s="779" customFormat="1" ht="45" customHeight="1" x14ac:dyDescent="0.3">
      <c r="A150" s="765"/>
      <c r="B150" s="766"/>
      <c r="C150" s="766"/>
      <c r="D150" s="766"/>
      <c r="E150" s="766"/>
      <c r="F150" s="767"/>
      <c r="G150" s="687"/>
      <c r="H150" s="1502"/>
      <c r="I150" s="1501"/>
      <c r="J150" s="793" t="s">
        <v>160</v>
      </c>
      <c r="K150" s="850"/>
      <c r="L150" s="850"/>
      <c r="M150" s="841"/>
      <c r="N150" s="850"/>
      <c r="O150" s="850"/>
      <c r="P150" s="850"/>
      <c r="Q150" s="850">
        <v>5460</v>
      </c>
      <c r="R150" s="850">
        <v>5460</v>
      </c>
      <c r="S150" s="850">
        <v>5460</v>
      </c>
      <c r="T150" s="850">
        <v>5460</v>
      </c>
      <c r="U150" s="850">
        <v>5460</v>
      </c>
      <c r="V150" s="913"/>
      <c r="W150" s="770">
        <f>SUM(K150:V150)</f>
        <v>27300</v>
      </c>
      <c r="X150" s="916" t="s">
        <v>987</v>
      </c>
      <c r="Y150" s="772">
        <v>5</v>
      </c>
      <c r="Z150" s="892" t="s">
        <v>463</v>
      </c>
      <c r="AA150" s="772">
        <v>133</v>
      </c>
      <c r="AB150" s="915">
        <v>33025</v>
      </c>
      <c r="AC150" s="892">
        <v>73628</v>
      </c>
      <c r="AD150" s="772">
        <v>11</v>
      </c>
      <c r="AE150" s="867">
        <f t="shared" si="100"/>
        <v>5460</v>
      </c>
      <c r="AF150" s="867">
        <f t="shared" si="101"/>
        <v>27300</v>
      </c>
      <c r="AG150" s="869">
        <f t="shared" si="97"/>
        <v>0</v>
      </c>
      <c r="AH150" s="869">
        <f t="shared" si="98"/>
        <v>10920</v>
      </c>
      <c r="AI150" s="869">
        <f t="shared" si="99"/>
        <v>16380</v>
      </c>
      <c r="AJ150" s="1485"/>
    </row>
    <row r="151" spans="1:37" s="779" customFormat="1" ht="45" customHeight="1" x14ac:dyDescent="0.3">
      <c r="A151" s="765"/>
      <c r="B151" s="766"/>
      <c r="C151" s="766"/>
      <c r="D151" s="766"/>
      <c r="E151" s="766"/>
      <c r="F151" s="767"/>
      <c r="G151" s="687"/>
      <c r="H151" s="1502"/>
      <c r="I151" s="1501"/>
      <c r="J151" s="793" t="s">
        <v>160</v>
      </c>
      <c r="K151" s="850"/>
      <c r="L151" s="850"/>
      <c r="M151" s="841"/>
      <c r="N151" s="850"/>
      <c r="O151" s="850"/>
      <c r="P151" s="850"/>
      <c r="Q151" s="850">
        <v>3260</v>
      </c>
      <c r="R151" s="850">
        <v>3260</v>
      </c>
      <c r="S151" s="850">
        <v>3260</v>
      </c>
      <c r="T151" s="850">
        <v>3260</v>
      </c>
      <c r="U151" s="850">
        <v>3260</v>
      </c>
      <c r="V151" s="913"/>
      <c r="W151" s="770">
        <f>SUM(K151:V151)</f>
        <v>16300</v>
      </c>
      <c r="X151" s="916" t="s">
        <v>988</v>
      </c>
      <c r="Y151" s="772">
        <v>5</v>
      </c>
      <c r="Z151" s="892" t="s">
        <v>463</v>
      </c>
      <c r="AA151" s="772">
        <v>133</v>
      </c>
      <c r="AB151" s="915">
        <v>33025</v>
      </c>
      <c r="AC151" s="892">
        <v>73628</v>
      </c>
      <c r="AD151" s="772">
        <v>11</v>
      </c>
      <c r="AE151" s="867">
        <f t="shared" si="100"/>
        <v>3260</v>
      </c>
      <c r="AF151" s="867">
        <f t="shared" si="101"/>
        <v>16300</v>
      </c>
      <c r="AG151" s="869">
        <f t="shared" si="97"/>
        <v>0</v>
      </c>
      <c r="AH151" s="869">
        <f t="shared" si="98"/>
        <v>6520</v>
      </c>
      <c r="AI151" s="869">
        <f t="shared" si="99"/>
        <v>9780</v>
      </c>
      <c r="AJ151" s="917"/>
    </row>
    <row r="152" spans="1:37" s="779" customFormat="1" ht="45" customHeight="1" x14ac:dyDescent="0.3">
      <c r="A152" s="765"/>
      <c r="B152" s="766"/>
      <c r="C152" s="766"/>
      <c r="D152" s="766"/>
      <c r="E152" s="766"/>
      <c r="F152" s="767"/>
      <c r="G152" s="687"/>
      <c r="H152" s="1502"/>
      <c r="I152" s="1501"/>
      <c r="J152" s="793" t="s">
        <v>160</v>
      </c>
      <c r="K152" s="850"/>
      <c r="L152" s="850"/>
      <c r="M152" s="841"/>
      <c r="N152" s="850"/>
      <c r="O152" s="850"/>
      <c r="P152" s="850"/>
      <c r="Q152" s="850">
        <v>840</v>
      </c>
      <c r="R152" s="850">
        <v>840</v>
      </c>
      <c r="S152" s="850">
        <v>840</v>
      </c>
      <c r="T152" s="850">
        <v>840</v>
      </c>
      <c r="U152" s="850">
        <v>840</v>
      </c>
      <c r="V152" s="913"/>
      <c r="W152" s="770">
        <f>SUM(K152:V152)</f>
        <v>4200</v>
      </c>
      <c r="X152" s="916" t="s">
        <v>989</v>
      </c>
      <c r="Y152" s="772">
        <v>5</v>
      </c>
      <c r="Z152" s="892" t="s">
        <v>463</v>
      </c>
      <c r="AA152" s="772">
        <v>262</v>
      </c>
      <c r="AB152" s="915">
        <v>33025</v>
      </c>
      <c r="AC152" s="892">
        <v>73628</v>
      </c>
      <c r="AD152" s="772">
        <v>11</v>
      </c>
      <c r="AE152" s="867">
        <f t="shared" ref="AE152" si="108">W152/Y152</f>
        <v>840</v>
      </c>
      <c r="AF152" s="867">
        <f t="shared" ref="AF152" si="109">Y152*AE152</f>
        <v>4200</v>
      </c>
      <c r="AG152" s="869">
        <f t="shared" si="97"/>
        <v>0</v>
      </c>
      <c r="AH152" s="869">
        <f t="shared" si="98"/>
        <v>1680</v>
      </c>
      <c r="AI152" s="869">
        <f t="shared" si="99"/>
        <v>2520</v>
      </c>
      <c r="AJ152" s="917"/>
    </row>
    <row r="153" spans="1:37" s="281" customFormat="1" ht="30.75" customHeight="1" thickBot="1" x14ac:dyDescent="0.3">
      <c r="A153" s="1567" t="s">
        <v>180</v>
      </c>
      <c r="B153" s="1567"/>
      <c r="C153" s="1567"/>
      <c r="D153" s="1567"/>
      <c r="E153" s="1567"/>
      <c r="F153" s="1567"/>
      <c r="G153" s="1567"/>
      <c r="H153" s="1567"/>
      <c r="I153" s="1567"/>
      <c r="J153" s="1567"/>
      <c r="K153" s="1567"/>
      <c r="L153" s="1567"/>
      <c r="M153" s="1567"/>
      <c r="N153" s="1567"/>
      <c r="O153" s="1567"/>
      <c r="P153" s="1567"/>
      <c r="Q153" s="1567"/>
      <c r="R153" s="1567"/>
      <c r="S153" s="1567"/>
      <c r="T153" s="1567"/>
      <c r="U153" s="1567"/>
      <c r="V153" s="1568"/>
      <c r="W153" s="312">
        <f>W5+W85</f>
        <v>18500000.001884285</v>
      </c>
      <c r="X153" s="1467"/>
      <c r="Y153" s="1468"/>
      <c r="Z153" s="1468"/>
      <c r="AA153" s="1468"/>
      <c r="AB153" s="1468"/>
      <c r="AC153" s="1468"/>
      <c r="AD153" s="1468"/>
      <c r="AE153" s="1468"/>
      <c r="AF153" s="1469"/>
      <c r="AG153" s="311">
        <f>AG7+AG87+AG98+AG116+AG128</f>
        <v>4724637</v>
      </c>
      <c r="AH153" s="311">
        <f>AH7+AH87+AH98+AH116+AH128</f>
        <v>6004229.9950000001</v>
      </c>
      <c r="AI153" s="311">
        <f>AI7+AI87+AI98+AI116+AI128</f>
        <v>5263065.0040000007</v>
      </c>
      <c r="AJ153" s="310"/>
      <c r="AK153" s="291"/>
    </row>
    <row r="155" spans="1:37" x14ac:dyDescent="0.3">
      <c r="W155" s="279"/>
      <c r="X155" s="279"/>
    </row>
    <row r="156" spans="1:37" x14ac:dyDescent="0.3">
      <c r="W156" s="279"/>
    </row>
    <row r="157" spans="1:37" ht="55.8" customHeight="1" x14ac:dyDescent="0.3">
      <c r="W157" s="279"/>
      <c r="X157" s="279"/>
    </row>
    <row r="158" spans="1:37" ht="71.400000000000006" customHeight="1" x14ac:dyDescent="0.3">
      <c r="AG158" s="279"/>
    </row>
    <row r="159" spans="1:37" x14ac:dyDescent="0.3">
      <c r="A159" s="973"/>
      <c r="B159" s="973"/>
      <c r="C159" s="973"/>
      <c r="D159" s="973"/>
      <c r="E159" s="973"/>
      <c r="F159" s="973"/>
      <c r="G159" s="974"/>
      <c r="H159" s="975"/>
      <c r="I159" s="976"/>
      <c r="J159" s="975"/>
      <c r="K159" s="977"/>
      <c r="L159" s="978" t="s">
        <v>1042</v>
      </c>
      <c r="M159" s="977"/>
      <c r="N159" s="979"/>
      <c r="O159" s="979"/>
      <c r="P159" s="979"/>
      <c r="Q159" s="977"/>
      <c r="R159" s="977"/>
      <c r="S159" s="979"/>
      <c r="T159" s="979"/>
      <c r="U159" s="979"/>
      <c r="V159" s="977" t="s">
        <v>1043</v>
      </c>
      <c r="W159" s="979"/>
      <c r="X159" s="979"/>
      <c r="Y159" s="974"/>
      <c r="Z159" s="974"/>
      <c r="AA159" s="974"/>
      <c r="AB159" s="974"/>
      <c r="AC159" s="974"/>
      <c r="AD159" s="974"/>
      <c r="AE159" s="974"/>
    </row>
    <row r="160" spans="1:37" x14ac:dyDescent="0.3">
      <c r="A160" s="973"/>
      <c r="B160" s="973"/>
      <c r="C160" s="973"/>
      <c r="D160" s="973"/>
      <c r="E160" s="973"/>
      <c r="F160" s="973"/>
      <c r="G160" s="974"/>
      <c r="H160" s="975"/>
      <c r="I160" s="976"/>
      <c r="J160" s="975"/>
      <c r="K160" s="979"/>
      <c r="L160" s="978" t="s">
        <v>1044</v>
      </c>
      <c r="M160" s="979"/>
      <c r="N160" s="979"/>
      <c r="O160" s="979"/>
      <c r="P160" s="979"/>
      <c r="Q160" s="977"/>
      <c r="R160" s="977"/>
      <c r="S160" s="979"/>
      <c r="T160" s="979"/>
      <c r="U160" s="979"/>
      <c r="V160" s="977" t="s">
        <v>1045</v>
      </c>
      <c r="W160" s="979"/>
      <c r="X160" s="979"/>
      <c r="Y160" s="974"/>
      <c r="Z160" s="974"/>
      <c r="AA160" s="974"/>
      <c r="AB160" s="974"/>
      <c r="AC160" s="974"/>
      <c r="AD160" s="974"/>
      <c r="AE160" s="974"/>
    </row>
    <row r="161" spans="1:31" x14ac:dyDescent="0.3">
      <c r="A161" s="973"/>
      <c r="B161" s="973"/>
      <c r="C161" s="973"/>
      <c r="D161" s="973"/>
      <c r="E161" s="973"/>
      <c r="F161" s="973"/>
      <c r="G161" s="974"/>
      <c r="H161" s="975"/>
      <c r="I161" s="976"/>
      <c r="J161" s="975"/>
      <c r="K161" s="979"/>
      <c r="L161" s="980" t="s">
        <v>1046</v>
      </c>
      <c r="M161" s="979"/>
      <c r="N161" s="979"/>
      <c r="O161" s="979"/>
      <c r="P161" s="979"/>
      <c r="Q161" s="977"/>
      <c r="R161" s="977"/>
      <c r="S161" s="979"/>
      <c r="T161" s="979"/>
      <c r="U161" s="979"/>
      <c r="V161" s="977" t="s">
        <v>1047</v>
      </c>
      <c r="W161" s="979"/>
      <c r="X161" s="979"/>
      <c r="Y161" s="974"/>
      <c r="Z161" s="974"/>
      <c r="AA161" s="974"/>
      <c r="AB161" s="974"/>
      <c r="AC161" s="974"/>
      <c r="AD161" s="974"/>
      <c r="AE161" s="974"/>
    </row>
    <row r="162" spans="1:31" x14ac:dyDescent="0.3">
      <c r="A162" s="973"/>
      <c r="B162" s="973"/>
      <c r="C162" s="973"/>
      <c r="D162" s="973"/>
      <c r="E162" s="973"/>
      <c r="F162" s="973"/>
      <c r="G162" s="974"/>
      <c r="H162" s="975"/>
      <c r="I162" s="976"/>
      <c r="J162" s="975"/>
      <c r="K162" s="976"/>
      <c r="L162" s="978" t="s">
        <v>1047</v>
      </c>
      <c r="M162" s="976"/>
      <c r="N162" s="976"/>
      <c r="O162" s="976"/>
      <c r="P162" s="977"/>
      <c r="Q162" s="979"/>
      <c r="R162" s="979"/>
      <c r="S162" s="979"/>
      <c r="T162" s="979"/>
      <c r="U162" s="979"/>
      <c r="V162" s="979"/>
      <c r="W162" s="979"/>
      <c r="X162" s="977"/>
      <c r="Y162" s="974"/>
      <c r="Z162" s="974"/>
      <c r="AA162" s="974"/>
      <c r="AB162" s="974"/>
      <c r="AC162" s="974"/>
      <c r="AD162" s="974"/>
      <c r="AE162" s="974"/>
    </row>
    <row r="163" spans="1:31" x14ac:dyDescent="0.3">
      <c r="A163" s="973"/>
      <c r="B163" s="973"/>
      <c r="C163" s="973"/>
      <c r="D163" s="973"/>
      <c r="E163" s="973"/>
      <c r="F163" s="973"/>
      <c r="G163" s="974"/>
      <c r="H163" s="975"/>
      <c r="I163" s="976"/>
      <c r="J163" s="975"/>
      <c r="K163" s="976"/>
      <c r="L163" s="975"/>
      <c r="M163" s="976"/>
      <c r="N163" s="976"/>
      <c r="O163" s="976"/>
      <c r="P163" s="979"/>
      <c r="Q163" s="979"/>
      <c r="R163" s="979"/>
      <c r="S163" s="979"/>
      <c r="T163" s="979"/>
      <c r="U163" s="979"/>
      <c r="V163" s="979"/>
      <c r="W163" s="979"/>
      <c r="X163" s="977"/>
      <c r="Y163" s="974"/>
      <c r="Z163" s="974"/>
      <c r="AA163" s="974"/>
      <c r="AB163" s="974"/>
      <c r="AC163" s="974"/>
      <c r="AD163" s="974"/>
      <c r="AE163" s="974"/>
    </row>
  </sheetData>
  <protectedRanges>
    <protectedRange sqref="K78 K125 K109 K123 K113 K111 K82 K69 K15:K32 K61:K67" name="Rango2_12"/>
    <protectedRange sqref="L78 L125 L109 L123 L111 L113 L82 L15:L19 L69 L21:L32 L61:L67" name="Rango2_13"/>
    <protectedRange sqref="M109 M123 M78:T78 M111 M125 M113 N22:N23 M21 M61:M63 M15 N64 N16 M17:M19 M69 M24:M32 M65:M67 M82:V82" name="Rango2_14"/>
    <protectedRange sqref="N109:N111 N94 N113 N123:N125 M77:P77 N72:O73 N61 O62 N24:N34 M79:T79 M80:P81 N63 N15 O17 O20:O21 N18:N19 N65:N70" name="Rango2_15"/>
    <protectedRange sqref="O125 O109 O123 O61 O111 O113 O15:O16 P24 O22:O23 O18:O19 O69 O25:O32 O63:O67" name="Rango2_16"/>
    <protectedRange sqref="P125 P109 P123 P111 P113 P15:P23 P69 P27:P32 P61:P67" name="Rango2_17"/>
    <protectedRange sqref="Q125 Q109 Q123 Q111 Q113 P25:P26 Q15:Q24 Q69 Q27:Q32 Q61:Q67" name="Rango2_18"/>
    <protectedRange sqref="R125 R109 R123 R113 R111 R69 R15:R32 R61:R67" name="Rango2_19"/>
    <protectedRange sqref="S125 S109 S123 S111 S113 S61:S64 S69 S15:S31" name="Rango2_20"/>
    <protectedRange sqref="T125 T109 T123 T111 T113 S66:S67 T15:T31 T69 T61:T65" name="Rango2_21"/>
    <protectedRange sqref="U78 U125 U109 U123 U113 U111 U69 U15:U32 U61:U67" name="Rango2_22"/>
    <protectedRange sqref="V78 V125 V109 V123 V113 V111 V69 V15:V32 V61:V67" name="Rango2_23"/>
    <protectedRange sqref="K110 K124 K112 K94:K96 K114 K126 K70:K74 L76 K79:K81 K83 K68 K33:K35 K76:K77 N75:N76 K75:M75" name="Rango2_24"/>
    <protectedRange sqref="L110 L124 L77 L112 L94:L96 L114 L126 L70:L74 L79:L81 M83:V83 L68 L33:L35" name="Rango2_25"/>
    <protectedRange sqref="M110 M124 N35 M94 M112:V112 M95:V96 M126:V126 N71 M70:M73 M68 M114:V114" name="Rango2_26"/>
    <protectedRange sqref="O110 O124 O68 O94 O70:O71 O33:O35 O75:O76" name="Rango2_28"/>
    <protectedRange sqref="P110 P124 P68 P94 Q74 O74 M74 M33:M34 P70:P73 P35 P75:P76" name="Rango2_29"/>
    <protectedRange sqref="Q110 Q124 Q80:V81 U79:V79 Q94 Q71:Q73 Q77:V77 Q68 Q33:Q35 Q75:Q76" name="Rango2_30"/>
    <protectedRange sqref="R110 R124 R68 R94 Q70:R70 R33:R35 R71:R76" name="Rango2_31"/>
    <protectedRange sqref="S110 S124 S68 S94 S33:S35 S70:S76" name="Rango2_32"/>
    <protectedRange sqref="T110 T124 T68 T94 T33:T35 T70:T76" name="Rango2_33"/>
    <protectedRange sqref="U110 U124 U68 U94 U33:U35 U70:U76" name="Rango2_34"/>
    <protectedRange sqref="V110 V124 V68 V94 V33:V35 V70:V76" name="Rango2_35"/>
  </protectedRanges>
  <autoFilter ref="X4:AC153"/>
  <mergeCells count="110">
    <mergeCell ref="I86:I87"/>
    <mergeCell ref="H99:H100"/>
    <mergeCell ref="H86:H87"/>
    <mergeCell ref="G84:H85"/>
    <mergeCell ref="H141:H144"/>
    <mergeCell ref="AJ141:AJ142"/>
    <mergeCell ref="AJ143:AJ144"/>
    <mergeCell ref="A153:V153"/>
    <mergeCell ref="H103:H105"/>
    <mergeCell ref="H131:H140"/>
    <mergeCell ref="I131:I140"/>
    <mergeCell ref="H129:H130"/>
    <mergeCell ref="H121:H122"/>
    <mergeCell ref="I121:I122"/>
    <mergeCell ref="H111:H112"/>
    <mergeCell ref="H109:H110"/>
    <mergeCell ref="I103:I104"/>
    <mergeCell ref="I106:I108"/>
    <mergeCell ref="I99:I100"/>
    <mergeCell ref="H88:H92"/>
    <mergeCell ref="I88:I92"/>
    <mergeCell ref="H97:H98"/>
    <mergeCell ref="I97:I98"/>
    <mergeCell ref="I84:I85"/>
    <mergeCell ref="G4:H5"/>
    <mergeCell ref="I4:I5"/>
    <mergeCell ref="I49:I60"/>
    <mergeCell ref="I47:I48"/>
    <mergeCell ref="H47:H48"/>
    <mergeCell ref="H6:H7"/>
    <mergeCell ref="I6:I7"/>
    <mergeCell ref="H71:H76"/>
    <mergeCell ref="I71:I76"/>
    <mergeCell ref="H41:H44"/>
    <mergeCell ref="H20:H35"/>
    <mergeCell ref="H8:H9"/>
    <mergeCell ref="I8:I9"/>
    <mergeCell ref="H10:H11"/>
    <mergeCell ref="I10:I11"/>
    <mergeCell ref="H49:H68"/>
    <mergeCell ref="I145:I152"/>
    <mergeCell ref="H145:H152"/>
    <mergeCell ref="A1:V1"/>
    <mergeCell ref="B2:B3"/>
    <mergeCell ref="A2:A3"/>
    <mergeCell ref="F2:F3"/>
    <mergeCell ref="E2:E3"/>
    <mergeCell ref="D2:D3"/>
    <mergeCell ref="C2:C3"/>
    <mergeCell ref="J2:J3"/>
    <mergeCell ref="G2:H3"/>
    <mergeCell ref="I2:I3"/>
    <mergeCell ref="K2:W2"/>
    <mergeCell ref="H127:H128"/>
    <mergeCell ref="I127:I128"/>
    <mergeCell ref="I115:I116"/>
    <mergeCell ref="H113:H114"/>
    <mergeCell ref="H123:H124"/>
    <mergeCell ref="I129:I130"/>
    <mergeCell ref="H115:H116"/>
    <mergeCell ref="H125:H126"/>
    <mergeCell ref="H117:H120"/>
    <mergeCell ref="I117:I120"/>
    <mergeCell ref="H106:H108"/>
    <mergeCell ref="X153:AF153"/>
    <mergeCell ref="X1:AH1"/>
    <mergeCell ref="AI1:AJ1"/>
    <mergeCell ref="X2:X3"/>
    <mergeCell ref="Y2:Y3"/>
    <mergeCell ref="Z2:Z3"/>
    <mergeCell ref="AA2:AA3"/>
    <mergeCell ref="AB2:AB3"/>
    <mergeCell ref="AD2:AD3"/>
    <mergeCell ref="AE2:AE3"/>
    <mergeCell ref="AF2:AF3"/>
    <mergeCell ref="AG2:AI2"/>
    <mergeCell ref="AJ2:AJ3"/>
    <mergeCell ref="AJ145:AJ150"/>
    <mergeCell ref="AJ103:AJ104"/>
    <mergeCell ref="AJ131:AJ140"/>
    <mergeCell ref="AJ106:AJ108"/>
    <mergeCell ref="AC2:AC3"/>
    <mergeCell ref="AJ47:AJ48"/>
    <mergeCell ref="AJ69:AJ70"/>
    <mergeCell ref="AJ78:AJ79"/>
    <mergeCell ref="AJ86:AJ87"/>
    <mergeCell ref="AJ71:AJ76"/>
    <mergeCell ref="AJ88:AJ92"/>
    <mergeCell ref="H82:H83"/>
    <mergeCell ref="H12:H13"/>
    <mergeCell ref="I12:I13"/>
    <mergeCell ref="H14:H15"/>
    <mergeCell ref="I14:I15"/>
    <mergeCell ref="AJ8:AJ9"/>
    <mergeCell ref="AJ10:AJ11"/>
    <mergeCell ref="AJ12:AJ13"/>
    <mergeCell ref="AJ14:AJ15"/>
    <mergeCell ref="I41:I44"/>
    <mergeCell ref="AJ41:AJ44"/>
    <mergeCell ref="H36:H40"/>
    <mergeCell ref="I36:I40"/>
    <mergeCell ref="AJ36:AJ40"/>
    <mergeCell ref="AJ82:AJ83"/>
    <mergeCell ref="AJ18:AJ19"/>
    <mergeCell ref="AJ16:AJ17"/>
    <mergeCell ref="AJ20:AJ35"/>
    <mergeCell ref="AJ49:AJ68"/>
    <mergeCell ref="I69:I70"/>
    <mergeCell ref="H69:H70"/>
    <mergeCell ref="H78:H79"/>
  </mergeCells>
  <printOptions horizontalCentered="1"/>
  <pageMargins left="0.23622047244094491" right="0.23622047244094491" top="0.74803149606299213" bottom="0.74803149606299213" header="0.31496062992125984" footer="0.31496062992125984"/>
  <pageSetup scale="40" orientation="landscape" horizontalDpi="4294967295" verticalDpi="4294967295"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4"/>
  </sheetPr>
  <dimension ref="A1:X23"/>
  <sheetViews>
    <sheetView view="pageBreakPreview" topLeftCell="A4" zoomScale="80" zoomScaleNormal="80" zoomScaleSheetLayoutView="80" workbookViewId="0">
      <selection activeCell="G22" sqref="G22"/>
    </sheetView>
  </sheetViews>
  <sheetFormatPr baseColWidth="10" defaultColWidth="11.44140625" defaultRowHeight="13.2" x14ac:dyDescent="0.25"/>
  <cols>
    <col min="1" max="1" width="31.109375" style="40" customWidth="1"/>
    <col min="2" max="2" width="15.44140625" style="40" customWidth="1"/>
    <col min="3" max="3" width="15.109375" style="40" customWidth="1"/>
    <col min="4" max="4" width="6.44140625" style="40" customWidth="1"/>
    <col min="5" max="5" width="10.6640625" style="40" customWidth="1"/>
    <col min="6" max="6" width="12.33203125" style="40" customWidth="1"/>
    <col min="7" max="7" width="10.33203125" style="40" customWidth="1"/>
    <col min="8" max="8" width="13.88671875" style="40" customWidth="1"/>
    <col min="9" max="9" width="11.44140625" style="40" customWidth="1"/>
    <col min="10" max="11" width="11" style="40" customWidth="1"/>
    <col min="12" max="12" width="12.33203125" style="40" customWidth="1"/>
    <col min="13" max="13" width="10.6640625" style="40" customWidth="1"/>
    <col min="14" max="14" width="10.88671875" style="40" customWidth="1"/>
    <col min="15" max="15" width="12.109375" style="40" customWidth="1"/>
    <col min="16" max="16" width="10.6640625" style="40" customWidth="1"/>
    <col min="17" max="17" width="10.88671875" style="40" customWidth="1"/>
    <col min="18" max="18" width="12.5546875" style="40" customWidth="1"/>
    <col min="19" max="19" width="16.44140625" style="40" customWidth="1"/>
    <col min="20" max="21" width="11.44140625" style="48"/>
    <col min="22" max="16384" width="11.44140625" style="40"/>
  </cols>
  <sheetData>
    <row r="1" spans="1:24" s="13" customFormat="1" ht="45.75" customHeight="1" x14ac:dyDescent="0.25">
      <c r="A1" s="1573" t="s">
        <v>187</v>
      </c>
      <c r="B1" s="1574"/>
      <c r="C1" s="1574"/>
      <c r="D1" s="1574"/>
      <c r="E1" s="1574"/>
      <c r="F1" s="1574"/>
      <c r="G1" s="1574"/>
      <c r="H1" s="1574"/>
      <c r="I1" s="1574"/>
      <c r="J1" s="1574"/>
      <c r="K1" s="1574"/>
      <c r="L1" s="1574"/>
      <c r="M1" s="1574"/>
      <c r="N1" s="1574"/>
      <c r="O1" s="1574"/>
      <c r="P1" s="1574"/>
      <c r="Q1" s="1574"/>
      <c r="R1" s="144" t="s">
        <v>387</v>
      </c>
      <c r="S1" s="107"/>
    </row>
    <row r="2" spans="1:24" ht="15.6" x14ac:dyDescent="0.25">
      <c r="A2" s="1575" t="s">
        <v>520</v>
      </c>
      <c r="B2" s="1576"/>
      <c r="C2" s="1576"/>
      <c r="D2" s="1576"/>
      <c r="E2" s="1576"/>
      <c r="F2" s="1576"/>
      <c r="G2" s="1576"/>
      <c r="H2" s="1576"/>
      <c r="I2" s="1576"/>
      <c r="J2" s="1576"/>
      <c r="K2" s="1576"/>
      <c r="L2" s="1576"/>
      <c r="M2" s="1576"/>
      <c r="N2" s="1576"/>
      <c r="O2" s="1576"/>
      <c r="P2" s="1576"/>
      <c r="Q2" s="1576"/>
      <c r="R2" s="1577"/>
      <c r="S2" s="24"/>
      <c r="T2" s="54"/>
      <c r="U2" s="54"/>
      <c r="V2" s="24"/>
      <c r="W2" s="24"/>
      <c r="X2" s="24"/>
    </row>
    <row r="3" spans="1:24" ht="16.5" customHeight="1" thickBot="1" x14ac:dyDescent="0.3">
      <c r="A3" s="1578" t="s">
        <v>188</v>
      </c>
      <c r="B3" s="1579"/>
      <c r="C3" s="1579"/>
      <c r="D3" s="1579"/>
      <c r="E3" s="1579"/>
      <c r="F3" s="1579"/>
      <c r="G3" s="1579"/>
      <c r="H3" s="1579"/>
      <c r="I3" s="1579"/>
      <c r="J3" s="1579"/>
      <c r="K3" s="1579"/>
      <c r="L3" s="1579"/>
      <c r="M3" s="1579"/>
      <c r="N3" s="1579"/>
      <c r="O3" s="1579"/>
      <c r="P3" s="1579"/>
      <c r="Q3" s="1579"/>
      <c r="R3" s="1580"/>
      <c r="S3" s="46"/>
    </row>
    <row r="4" spans="1:24" ht="12.75" customHeight="1" thickBot="1" x14ac:dyDescent="0.4">
      <c r="C4" s="106"/>
      <c r="D4" s="106"/>
      <c r="E4" s="106"/>
      <c r="F4" s="106"/>
      <c r="G4" s="106"/>
      <c r="H4" s="106"/>
      <c r="I4" s="106"/>
      <c r="J4" s="106"/>
      <c r="K4" s="106"/>
      <c r="L4" s="106"/>
      <c r="M4" s="106"/>
      <c r="N4" s="106"/>
      <c r="O4" s="46"/>
      <c r="P4" s="106"/>
      <c r="Q4" s="106"/>
      <c r="R4" s="47"/>
      <c r="S4" s="46"/>
    </row>
    <row r="5" spans="1:24" ht="27.75" customHeight="1" thickBot="1" x14ac:dyDescent="0.3">
      <c r="A5" s="1584" t="s">
        <v>189</v>
      </c>
      <c r="B5" s="1398" t="s">
        <v>173</v>
      </c>
      <c r="C5" s="1398" t="s">
        <v>74</v>
      </c>
      <c r="D5" s="1399"/>
      <c r="E5" s="1399"/>
      <c r="F5" s="1399"/>
      <c r="G5" s="1399"/>
      <c r="H5" s="1399"/>
      <c r="I5" s="1399"/>
      <c r="J5" s="1399"/>
      <c r="K5" s="1399"/>
      <c r="L5" s="1399"/>
      <c r="M5" s="1399"/>
      <c r="N5" s="1399"/>
      <c r="O5" s="1400"/>
      <c r="P5" s="142"/>
      <c r="Q5" s="142"/>
      <c r="R5" s="142"/>
      <c r="S5" s="46"/>
    </row>
    <row r="6" spans="1:24" ht="20.100000000000001" customHeight="1" thickBot="1" x14ac:dyDescent="0.3">
      <c r="A6" s="1584"/>
      <c r="B6" s="1398"/>
      <c r="C6" s="1401" t="s">
        <v>174</v>
      </c>
      <c r="D6" s="1387" t="s">
        <v>337</v>
      </c>
      <c r="E6" s="1388"/>
      <c r="F6" s="1389"/>
      <c r="G6" s="1387" t="s">
        <v>363</v>
      </c>
      <c r="H6" s="1388"/>
      <c r="I6" s="1389"/>
      <c r="J6" s="1387" t="s">
        <v>364</v>
      </c>
      <c r="K6" s="1388"/>
      <c r="L6" s="1389"/>
      <c r="M6" s="1387" t="s">
        <v>365</v>
      </c>
      <c r="N6" s="1388"/>
      <c r="O6" s="1389"/>
      <c r="P6" s="1387" t="s">
        <v>366</v>
      </c>
      <c r="Q6" s="1388"/>
      <c r="R6" s="1404"/>
      <c r="T6" s="40"/>
      <c r="U6" s="40"/>
    </row>
    <row r="7" spans="1:24" ht="20.25" customHeight="1" thickBot="1" x14ac:dyDescent="0.3">
      <c r="A7" s="1584"/>
      <c r="B7" s="1398"/>
      <c r="C7" s="1402"/>
      <c r="D7" s="1390" t="s">
        <v>18</v>
      </c>
      <c r="E7" s="1391" t="s">
        <v>168</v>
      </c>
      <c r="F7" s="1392"/>
      <c r="G7" s="1390" t="s">
        <v>168</v>
      </c>
      <c r="H7" s="1391"/>
      <c r="I7" s="1392"/>
      <c r="J7" s="1390" t="s">
        <v>168</v>
      </c>
      <c r="K7" s="1391"/>
      <c r="L7" s="1392"/>
      <c r="M7" s="1390" t="s">
        <v>168</v>
      </c>
      <c r="N7" s="1391"/>
      <c r="O7" s="1393"/>
      <c r="P7" s="1390" t="s">
        <v>168</v>
      </c>
      <c r="Q7" s="1391"/>
      <c r="R7" s="1393"/>
      <c r="T7" s="40"/>
      <c r="U7" s="40"/>
    </row>
    <row r="8" spans="1:24" ht="33.75" customHeight="1" thickBot="1" x14ac:dyDescent="0.3">
      <c r="A8" s="1584"/>
      <c r="B8" s="1398"/>
      <c r="C8" s="1403"/>
      <c r="D8" s="1405"/>
      <c r="E8" s="112" t="s">
        <v>166</v>
      </c>
      <c r="F8" s="141" t="s">
        <v>167</v>
      </c>
      <c r="G8" s="110" t="s">
        <v>166</v>
      </c>
      <c r="H8" s="109" t="s">
        <v>167</v>
      </c>
      <c r="I8" s="114" t="s">
        <v>169</v>
      </c>
      <c r="J8" s="110" t="s">
        <v>166</v>
      </c>
      <c r="K8" s="109" t="s">
        <v>167</v>
      </c>
      <c r="L8" s="114" t="s">
        <v>170</v>
      </c>
      <c r="M8" s="113" t="s">
        <v>166</v>
      </c>
      <c r="N8" s="109" t="s">
        <v>167</v>
      </c>
      <c r="O8" s="115" t="s">
        <v>170</v>
      </c>
      <c r="P8" s="113" t="s">
        <v>166</v>
      </c>
      <c r="Q8" s="109" t="s">
        <v>167</v>
      </c>
      <c r="R8" s="115" t="s">
        <v>170</v>
      </c>
      <c r="T8" s="40"/>
      <c r="U8" s="40"/>
    </row>
    <row r="9" spans="1:24" ht="66" x14ac:dyDescent="0.25">
      <c r="A9" s="386" t="str">
        <f>'SPPD-14 POA'!K6</f>
        <v>Dirección y Coordinación</v>
      </c>
      <c r="B9" s="337" t="s">
        <v>447</v>
      </c>
      <c r="C9" s="375" t="s">
        <v>533</v>
      </c>
      <c r="D9" s="1385">
        <v>2017</v>
      </c>
      <c r="E9" s="339">
        <v>36</v>
      </c>
      <c r="F9" s="340">
        <v>0</v>
      </c>
      <c r="G9" s="370">
        <f>'SPPD-14 POA'!L6</f>
        <v>220</v>
      </c>
      <c r="H9" s="343">
        <f>(G9/E9)</f>
        <v>6.1111111111111107</v>
      </c>
      <c r="I9" s="371"/>
      <c r="J9" s="384">
        <f>'SPPD-14 POA'!N6</f>
        <v>196</v>
      </c>
      <c r="K9" s="343">
        <f>(J9/E9)</f>
        <v>5.4444444444444446</v>
      </c>
      <c r="L9" s="123"/>
      <c r="M9" s="384">
        <f>'SPPD-14 POA'!P6</f>
        <v>247</v>
      </c>
      <c r="N9" s="342">
        <f>M9/E9</f>
        <v>6.8611111111111107</v>
      </c>
      <c r="O9" s="123"/>
      <c r="P9" s="384">
        <f>G9+J9+M9</f>
        <v>663</v>
      </c>
      <c r="Q9" s="385">
        <f>(H9+K9+N9)-1</f>
        <v>17.416666666666664</v>
      </c>
      <c r="R9" s="123"/>
      <c r="T9" s="40"/>
      <c r="U9" s="40"/>
    </row>
    <row r="10" spans="1:24" ht="119.4" thickBot="1" x14ac:dyDescent="0.3">
      <c r="A10" s="387" t="str">
        <f>'SPPD-14 POA'!K8</f>
        <v>Mujeres Indígenas con Servicios de Atención Integral</v>
      </c>
      <c r="B10" s="119" t="s">
        <v>470</v>
      </c>
      <c r="C10" s="388" t="s">
        <v>531</v>
      </c>
      <c r="D10" s="1572"/>
      <c r="E10" s="389">
        <f>'SPPD-13 Ficha Seguimiento POM'!E20</f>
        <v>10779</v>
      </c>
      <c r="F10" s="390">
        <v>0</v>
      </c>
      <c r="G10" s="391">
        <f>'SPPD-14 POA'!L8</f>
        <v>3209</v>
      </c>
      <c r="H10" s="392">
        <f>(G10/E10)</f>
        <v>0.29770850728267928</v>
      </c>
      <c r="I10" s="393"/>
      <c r="J10" s="394">
        <f>'SPPD-14 POA'!N8</f>
        <v>4165</v>
      </c>
      <c r="K10" s="392">
        <f>(J10/E10)</f>
        <v>0.38639948047128675</v>
      </c>
      <c r="L10" s="395"/>
      <c r="M10" s="394">
        <f>'SPPD-14 POA'!P8</f>
        <v>2972</v>
      </c>
      <c r="N10" s="396">
        <f>(M10/E10)</f>
        <v>0.27572130995454125</v>
      </c>
      <c r="O10" s="395"/>
      <c r="P10" s="394">
        <f>G10+J10+M10</f>
        <v>10346</v>
      </c>
      <c r="Q10" s="397">
        <f>(H10+K10+N10)-1</f>
        <v>-4.0170702291492777E-2</v>
      </c>
      <c r="R10" s="395"/>
      <c r="T10" s="363"/>
      <c r="U10" s="40"/>
    </row>
    <row r="11" spans="1:24" s="143" customFormat="1" ht="10.5" customHeight="1" x14ac:dyDescent="0.25">
      <c r="A11" s="58"/>
      <c r="B11" s="58"/>
      <c r="C11" s="58"/>
      <c r="D11" s="58"/>
      <c r="E11" s="58"/>
      <c r="F11" s="58"/>
      <c r="G11" s="58"/>
      <c r="H11" s="58"/>
      <c r="I11" s="126"/>
      <c r="J11" s="58"/>
      <c r="K11" s="58"/>
      <c r="L11" s="126"/>
      <c r="M11" s="58"/>
      <c r="N11" s="58"/>
      <c r="O11" s="126"/>
      <c r="P11" s="58"/>
      <c r="Q11" s="58"/>
      <c r="R11" s="126"/>
    </row>
    <row r="12" spans="1:24" ht="34.5" customHeight="1" thickBot="1" x14ac:dyDescent="0.3">
      <c r="A12" s="55"/>
      <c r="B12" s="55"/>
      <c r="C12" s="55"/>
      <c r="D12" s="55"/>
      <c r="E12" s="55"/>
      <c r="F12" s="55"/>
      <c r="G12" s="55"/>
      <c r="H12" s="55"/>
      <c r="I12" s="126"/>
      <c r="J12" s="58"/>
      <c r="K12" s="58"/>
      <c r="L12" s="126"/>
      <c r="M12" s="58"/>
      <c r="N12" s="58"/>
      <c r="O12" s="126"/>
      <c r="P12" s="58"/>
      <c r="Q12" s="58"/>
      <c r="R12" s="126"/>
      <c r="S12" s="46"/>
    </row>
    <row r="13" spans="1:24" ht="16.5" customHeight="1" thickBot="1" x14ac:dyDescent="0.3">
      <c r="A13" s="1581" t="s">
        <v>192</v>
      </c>
      <c r="B13" s="1582"/>
      <c r="C13" s="1582"/>
      <c r="D13" s="1582"/>
      <c r="E13" s="1582"/>
      <c r="F13" s="1582"/>
      <c r="G13" s="1582"/>
      <c r="H13" s="1582"/>
      <c r="I13" s="1582"/>
      <c r="J13" s="1582"/>
      <c r="K13" s="1582"/>
      <c r="L13" s="1582"/>
      <c r="M13" s="1582"/>
      <c r="N13" s="1582"/>
      <c r="O13" s="1582"/>
      <c r="P13" s="1582"/>
      <c r="Q13" s="1582"/>
      <c r="R13" s="1583"/>
      <c r="S13" s="46"/>
    </row>
    <row r="14" spans="1:24" ht="12.75" customHeight="1" thickBot="1" x14ac:dyDescent="0.3">
      <c r="A14" s="125"/>
      <c r="B14" s="125"/>
      <c r="C14" s="125"/>
      <c r="D14" s="125"/>
      <c r="E14" s="125"/>
      <c r="F14" s="125"/>
      <c r="G14" s="125"/>
      <c r="H14" s="125"/>
      <c r="I14" s="125"/>
      <c r="J14" s="125"/>
      <c r="K14" s="125"/>
      <c r="L14" s="125"/>
      <c r="M14" s="96"/>
      <c r="N14" s="57"/>
      <c r="O14" s="46"/>
      <c r="P14" s="96"/>
      <c r="Q14" s="57"/>
      <c r="R14" s="46"/>
      <c r="S14" s="46"/>
    </row>
    <row r="15" spans="1:24" ht="27.75" customHeight="1" thickBot="1" x14ac:dyDescent="0.3">
      <c r="A15" s="1584" t="s">
        <v>190</v>
      </c>
      <c r="B15" s="1398" t="s">
        <v>173</v>
      </c>
      <c r="C15" s="1398" t="s">
        <v>191</v>
      </c>
      <c r="D15" s="1399"/>
      <c r="E15" s="1399"/>
      <c r="F15" s="1399"/>
      <c r="G15" s="1399"/>
      <c r="H15" s="1399"/>
      <c r="I15" s="1399"/>
      <c r="J15" s="1399"/>
      <c r="K15" s="1399"/>
      <c r="L15" s="1399"/>
      <c r="M15" s="1399"/>
      <c r="N15" s="1399"/>
      <c r="O15" s="1400"/>
      <c r="P15" s="142"/>
      <c r="Q15" s="142"/>
      <c r="R15" s="142"/>
      <c r="S15" s="46"/>
    </row>
    <row r="16" spans="1:24" ht="20.100000000000001" customHeight="1" thickBot="1" x14ac:dyDescent="0.3">
      <c r="A16" s="1584"/>
      <c r="B16" s="1398"/>
      <c r="C16" s="1401" t="s">
        <v>195</v>
      </c>
      <c r="D16" s="1387" t="s">
        <v>337</v>
      </c>
      <c r="E16" s="1388"/>
      <c r="F16" s="1389"/>
      <c r="G16" s="1387" t="s">
        <v>363</v>
      </c>
      <c r="H16" s="1388"/>
      <c r="I16" s="1389"/>
      <c r="J16" s="1387" t="s">
        <v>364</v>
      </c>
      <c r="K16" s="1388"/>
      <c r="L16" s="1389"/>
      <c r="M16" s="1387" t="s">
        <v>365</v>
      </c>
      <c r="N16" s="1388"/>
      <c r="O16" s="1389"/>
      <c r="P16" s="1387" t="s">
        <v>366</v>
      </c>
      <c r="Q16" s="1388"/>
      <c r="R16" s="1404"/>
      <c r="T16" s="40"/>
      <c r="U16" s="40"/>
    </row>
    <row r="17" spans="1:21" ht="24" customHeight="1" thickBot="1" x14ac:dyDescent="0.3">
      <c r="A17" s="1584"/>
      <c r="B17" s="1398"/>
      <c r="C17" s="1402"/>
      <c r="D17" s="1390" t="s">
        <v>18</v>
      </c>
      <c r="E17" s="1391" t="s">
        <v>168</v>
      </c>
      <c r="F17" s="1392"/>
      <c r="G17" s="1390" t="s">
        <v>168</v>
      </c>
      <c r="H17" s="1391"/>
      <c r="I17" s="1392"/>
      <c r="J17" s="1390" t="s">
        <v>168</v>
      </c>
      <c r="K17" s="1391"/>
      <c r="L17" s="1392"/>
      <c r="M17" s="1390" t="s">
        <v>168</v>
      </c>
      <c r="N17" s="1391"/>
      <c r="O17" s="1393"/>
      <c r="P17" s="1390" t="s">
        <v>168</v>
      </c>
      <c r="Q17" s="1391"/>
      <c r="R17" s="1393"/>
      <c r="T17" s="40"/>
      <c r="U17" s="40"/>
    </row>
    <row r="18" spans="1:21" ht="33.75" customHeight="1" thickBot="1" x14ac:dyDescent="0.3">
      <c r="A18" s="1584"/>
      <c r="B18" s="1398"/>
      <c r="C18" s="1403"/>
      <c r="D18" s="1405"/>
      <c r="E18" s="112" t="s">
        <v>166</v>
      </c>
      <c r="F18" s="141" t="s">
        <v>167</v>
      </c>
      <c r="G18" s="110" t="s">
        <v>166</v>
      </c>
      <c r="H18" s="109" t="s">
        <v>167</v>
      </c>
      <c r="I18" s="114" t="s">
        <v>169</v>
      </c>
      <c r="J18" s="110" t="s">
        <v>166</v>
      </c>
      <c r="K18" s="109" t="s">
        <v>167</v>
      </c>
      <c r="L18" s="114" t="s">
        <v>170</v>
      </c>
      <c r="M18" s="113" t="s">
        <v>166</v>
      </c>
      <c r="N18" s="109" t="s">
        <v>167</v>
      </c>
      <c r="O18" s="115" t="s">
        <v>170</v>
      </c>
      <c r="P18" s="113" t="s">
        <v>166</v>
      </c>
      <c r="Q18" s="109" t="s">
        <v>167</v>
      </c>
      <c r="R18" s="115" t="s">
        <v>170</v>
      </c>
      <c r="T18" s="40"/>
      <c r="U18" s="40"/>
    </row>
    <row r="19" spans="1:21" ht="28.5" customHeight="1" x14ac:dyDescent="0.25">
      <c r="A19" s="400" t="str">
        <f>'SPPD-14 POA'!K7</f>
        <v>Dirección y Coordinación</v>
      </c>
      <c r="B19" s="337" t="s">
        <v>447</v>
      </c>
      <c r="C19" s="117"/>
      <c r="D19" s="116"/>
      <c r="E19" s="412">
        <v>36</v>
      </c>
      <c r="F19" s="413">
        <v>0</v>
      </c>
      <c r="G19" s="401">
        <f>'SPPD-14 POA'!L7</f>
        <v>220</v>
      </c>
      <c r="H19" s="414">
        <f>G19/E19</f>
        <v>6.1111111111111107</v>
      </c>
      <c r="I19" s="120"/>
      <c r="J19" s="405">
        <f>'SPPD-14 POA'!N7</f>
        <v>196</v>
      </c>
      <c r="K19" s="415">
        <f>J19/E19</f>
        <v>5.4444444444444446</v>
      </c>
      <c r="L19" s="123"/>
      <c r="M19" s="403">
        <f>'SPPD-14 POA'!P7</f>
        <v>247</v>
      </c>
      <c r="N19" s="415">
        <f>M19/E19</f>
        <v>6.8611111111111107</v>
      </c>
      <c r="O19" s="123"/>
      <c r="P19" s="403">
        <f>G19+J19+M19</f>
        <v>663</v>
      </c>
      <c r="Q19" s="415">
        <f>H19+K19+N19-1</f>
        <v>17.416666666666664</v>
      </c>
      <c r="R19" s="123"/>
      <c r="T19" s="40"/>
      <c r="U19" s="40"/>
    </row>
    <row r="20" spans="1:21" ht="41.4" x14ac:dyDescent="0.25">
      <c r="A20" s="398" t="str">
        <f>'SPPD-14 POA'!K9</f>
        <v>Mujeres Indígenas Violentadas en sus Derechos, Reciben Atención Jurídica</v>
      </c>
      <c r="B20" s="399" t="s">
        <v>470</v>
      </c>
      <c r="C20" s="118"/>
      <c r="D20" s="56"/>
      <c r="E20" s="409">
        <f>ROUND(S20*T20,0)</f>
        <v>4622</v>
      </c>
      <c r="F20" s="410">
        <v>0</v>
      </c>
      <c r="G20" s="402">
        <f>'SPPD-14 POA'!L9</f>
        <v>1314</v>
      </c>
      <c r="H20" s="411">
        <f>G20/E20</f>
        <v>0.28429251406317613</v>
      </c>
      <c r="I20" s="121"/>
      <c r="J20" s="406">
        <f>'SPPD-14 POA'!N9</f>
        <v>1393</v>
      </c>
      <c r="K20" s="411">
        <f>J20/E20</f>
        <v>0.30138468195586327</v>
      </c>
      <c r="L20" s="124"/>
      <c r="M20" s="404">
        <f>'SPPD-14 POA'!P9</f>
        <v>1091</v>
      </c>
      <c r="N20" s="411">
        <f>M20/E20</f>
        <v>0.23604500216356555</v>
      </c>
      <c r="O20" s="124"/>
      <c r="P20" s="404">
        <f>G20+J20+M20</f>
        <v>3798</v>
      </c>
      <c r="Q20" s="411">
        <f>F20+K20+N20+H20</f>
        <v>0.82172219818260495</v>
      </c>
      <c r="R20" s="124"/>
      <c r="S20" s="40">
        <v>10779</v>
      </c>
      <c r="T20" s="408">
        <f>P20/S21</f>
        <v>0.42876495822984872</v>
      </c>
      <c r="U20" s="40"/>
    </row>
    <row r="21" spans="1:21" ht="41.4" x14ac:dyDescent="0.25">
      <c r="A21" s="398" t="str">
        <f>'SPPD-14 POA'!K10</f>
        <v>Mujeres Indígenas Violentadas en sus Derechos, Reciben Atención Social</v>
      </c>
      <c r="B21" s="399" t="s">
        <v>470</v>
      </c>
      <c r="C21" s="118"/>
      <c r="D21" s="56"/>
      <c r="E21" s="409">
        <f>ROUND(S20*T21,0)</f>
        <v>4084</v>
      </c>
      <c r="F21" s="410">
        <v>0</v>
      </c>
      <c r="G21" s="402">
        <f>'SPPD-14 POA'!L10</f>
        <v>1146</v>
      </c>
      <c r="H21" s="411">
        <f t="shared" ref="H21:H22" si="0">G21/E21</f>
        <v>0.28060724779627816</v>
      </c>
      <c r="I21" s="121"/>
      <c r="J21" s="406">
        <f>'SPPD-14 POA'!N10</f>
        <v>1239</v>
      </c>
      <c r="K21" s="411">
        <f t="shared" ref="K21:K22" si="1">J21/E21</f>
        <v>0.30337904015670913</v>
      </c>
      <c r="L21" s="124"/>
      <c r="M21" s="404">
        <f>'SPPD-14 POA'!P10</f>
        <v>971</v>
      </c>
      <c r="N21" s="411">
        <f t="shared" ref="N21:N22" si="2">M21/E21</f>
        <v>0.23775710088148874</v>
      </c>
      <c r="O21" s="124"/>
      <c r="P21" s="404">
        <f t="shared" ref="P21:P23" si="3">G21+J21+M21</f>
        <v>3356</v>
      </c>
      <c r="Q21" s="411">
        <f>F21+K21+N21+H21</f>
        <v>0.82174338883447606</v>
      </c>
      <c r="R21" s="124"/>
      <c r="S21" s="40">
        <f>SUM(P20:P22)</f>
        <v>8858</v>
      </c>
      <c r="T21" s="408">
        <f>P21/S21</f>
        <v>0.37886656130051932</v>
      </c>
      <c r="U21" s="40"/>
    </row>
    <row r="22" spans="1:21" ht="41.4" x14ac:dyDescent="0.25">
      <c r="A22" s="398" t="str">
        <f>'SPPD-14 POA'!K11</f>
        <v>Mujeres Indígenas Violentadas en sus Derechos, Reciben Atención Psicológica</v>
      </c>
      <c r="B22" s="399" t="s">
        <v>470</v>
      </c>
      <c r="C22" s="118"/>
      <c r="D22" s="56"/>
      <c r="E22" s="409">
        <f>ROUND(S20*T22,0)</f>
        <v>2074</v>
      </c>
      <c r="F22" s="410">
        <v>0</v>
      </c>
      <c r="G22" s="402">
        <f>'SPPD-14 POA'!L11</f>
        <v>549</v>
      </c>
      <c r="H22" s="411">
        <f t="shared" si="0"/>
        <v>0.26470588235294118</v>
      </c>
      <c r="I22" s="121"/>
      <c r="J22" s="406">
        <f>'SPPD-14 POA'!N11</f>
        <v>615</v>
      </c>
      <c r="K22" s="411">
        <f t="shared" si="1"/>
        <v>0.29652844744455159</v>
      </c>
      <c r="L22" s="124"/>
      <c r="M22" s="404">
        <f>'SPPD-14 POA'!P11</f>
        <v>540</v>
      </c>
      <c r="N22" s="411">
        <f t="shared" si="2"/>
        <v>0.26036644165863065</v>
      </c>
      <c r="O22" s="124"/>
      <c r="P22" s="404">
        <f t="shared" si="3"/>
        <v>1704</v>
      </c>
      <c r="Q22" s="411">
        <f>F22+K22+N22+H22</f>
        <v>0.82160077145612331</v>
      </c>
      <c r="R22" s="124"/>
      <c r="T22" s="408">
        <f>P22/S21</f>
        <v>0.19236848046963198</v>
      </c>
      <c r="U22" s="40"/>
    </row>
    <row r="23" spans="1:21" ht="69" x14ac:dyDescent="0.25">
      <c r="A23" s="398" t="str">
        <f>'SPPD-14 POA'!K12</f>
        <v>Personas Informadas y Capacitadas en Derechos Humanos para la Prevención de la Violencia Contra las Mujeres Indígenas</v>
      </c>
      <c r="B23" s="399" t="s">
        <v>470</v>
      </c>
      <c r="C23" s="118"/>
      <c r="D23" s="56"/>
      <c r="E23" s="409">
        <v>0</v>
      </c>
      <c r="F23" s="410">
        <v>0</v>
      </c>
      <c r="G23" s="402">
        <f>'SPPD-14 POA'!L12</f>
        <v>200</v>
      </c>
      <c r="H23" s="411">
        <v>1</v>
      </c>
      <c r="I23" s="121"/>
      <c r="J23" s="406">
        <f>'SPPD-14 POA'!N12</f>
        <v>918</v>
      </c>
      <c r="K23" s="411">
        <v>1</v>
      </c>
      <c r="L23" s="124"/>
      <c r="M23" s="404">
        <f>'SPPD-14 POA'!P12</f>
        <v>370</v>
      </c>
      <c r="N23" s="411">
        <v>1</v>
      </c>
      <c r="O23" s="124"/>
      <c r="P23" s="404">
        <f t="shared" si="3"/>
        <v>1488</v>
      </c>
      <c r="Q23" s="411">
        <v>1</v>
      </c>
      <c r="R23" s="124"/>
      <c r="T23" s="40"/>
      <c r="U23" s="40"/>
    </row>
  </sheetData>
  <mergeCells count="35">
    <mergeCell ref="A15:A18"/>
    <mergeCell ref="B15:B18"/>
    <mergeCell ref="C15:O15"/>
    <mergeCell ref="C16:C18"/>
    <mergeCell ref="D16:F16"/>
    <mergeCell ref="G16:I16"/>
    <mergeCell ref="J16:L16"/>
    <mergeCell ref="M16:O16"/>
    <mergeCell ref="D17:D18"/>
    <mergeCell ref="A1:Q1"/>
    <mergeCell ref="A2:R2"/>
    <mergeCell ref="A3:R3"/>
    <mergeCell ref="A13:R13"/>
    <mergeCell ref="A5:A8"/>
    <mergeCell ref="B5:B8"/>
    <mergeCell ref="C5:O5"/>
    <mergeCell ref="C6:C8"/>
    <mergeCell ref="D6:F6"/>
    <mergeCell ref="G6:I6"/>
    <mergeCell ref="J6:L6"/>
    <mergeCell ref="M6:O6"/>
    <mergeCell ref="D7:D8"/>
    <mergeCell ref="E7:F7"/>
    <mergeCell ref="G7:I7"/>
    <mergeCell ref="J7:L7"/>
    <mergeCell ref="D9:D10"/>
    <mergeCell ref="P6:R6"/>
    <mergeCell ref="P7:R7"/>
    <mergeCell ref="P16:R16"/>
    <mergeCell ref="P17:R17"/>
    <mergeCell ref="M7:O7"/>
    <mergeCell ref="E17:F17"/>
    <mergeCell ref="G17:I17"/>
    <mergeCell ref="J17:L17"/>
    <mergeCell ref="M17:O17"/>
  </mergeCells>
  <printOptions horizontalCentered="1"/>
  <pageMargins left="0.19685039370078741" right="0.19685039370078741" top="0.98425196850393704" bottom="0.98425196850393704" header="0" footer="0"/>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C000"/>
  </sheetPr>
  <dimension ref="A1:D30"/>
  <sheetViews>
    <sheetView zoomScale="130" zoomScaleNormal="130" zoomScaleSheetLayoutView="100" workbookViewId="0">
      <selection activeCell="H4" sqref="H4"/>
    </sheetView>
  </sheetViews>
  <sheetFormatPr baseColWidth="10" defaultColWidth="11.44140625" defaultRowHeight="15.9" customHeight="1" x14ac:dyDescent="0.25"/>
  <cols>
    <col min="1" max="1" width="8.33203125" style="13" customWidth="1"/>
    <col min="2" max="2" width="78.44140625" style="13" customWidth="1"/>
    <col min="3" max="3" width="26.5546875" style="13" customWidth="1"/>
    <col min="4" max="16384" width="11.44140625" style="13"/>
  </cols>
  <sheetData>
    <row r="1" spans="1:4" ht="33" customHeight="1" x14ac:dyDescent="0.25"/>
    <row r="2" spans="1:4" ht="33" customHeight="1" x14ac:dyDescent="0.25"/>
    <row r="3" spans="1:4" ht="20.25" customHeight="1" thickBot="1" x14ac:dyDescent="0.3"/>
    <row r="4" spans="1:4" ht="41.25" customHeight="1" x14ac:dyDescent="0.25">
      <c r="A4" s="250"/>
      <c r="B4" s="252" t="s">
        <v>394</v>
      </c>
    </row>
    <row r="5" spans="1:4" ht="26.4" x14ac:dyDescent="0.3">
      <c r="B5" s="249" t="s">
        <v>371</v>
      </c>
      <c r="C5" s="251" t="s">
        <v>350</v>
      </c>
      <c r="D5" s="256" t="s">
        <v>410</v>
      </c>
    </row>
    <row r="6" spans="1:4" ht="36" x14ac:dyDescent="0.35">
      <c r="A6" s="994" t="s">
        <v>392</v>
      </c>
      <c r="B6" s="257" t="s">
        <v>349</v>
      </c>
      <c r="C6" s="238" t="s">
        <v>348</v>
      </c>
    </row>
    <row r="7" spans="1:4" ht="24" customHeight="1" x14ac:dyDescent="0.25">
      <c r="A7" s="995"/>
      <c r="B7" s="258" t="s">
        <v>395</v>
      </c>
      <c r="C7" s="238" t="s">
        <v>372</v>
      </c>
    </row>
    <row r="8" spans="1:4" ht="24" customHeight="1" x14ac:dyDescent="0.25">
      <c r="A8" s="995"/>
      <c r="B8" s="259" t="s">
        <v>321</v>
      </c>
      <c r="C8" s="238" t="s">
        <v>373</v>
      </c>
    </row>
    <row r="9" spans="1:4" ht="24" customHeight="1" x14ac:dyDescent="0.25">
      <c r="A9" s="995"/>
      <c r="B9" s="259" t="s">
        <v>413</v>
      </c>
      <c r="C9" s="269" t="s">
        <v>374</v>
      </c>
    </row>
    <row r="10" spans="1:4" ht="24" customHeight="1" x14ac:dyDescent="0.35">
      <c r="A10" s="995"/>
      <c r="B10" s="264" t="s">
        <v>414</v>
      </c>
      <c r="C10" s="238" t="s">
        <v>375</v>
      </c>
    </row>
    <row r="11" spans="1:4" ht="24" customHeight="1" x14ac:dyDescent="0.35">
      <c r="A11" s="995"/>
      <c r="B11" s="265" t="s">
        <v>322</v>
      </c>
      <c r="C11" s="238" t="s">
        <v>376</v>
      </c>
    </row>
    <row r="12" spans="1:4" ht="24" customHeight="1" x14ac:dyDescent="0.35">
      <c r="A12" s="995"/>
      <c r="B12" s="266" t="s">
        <v>324</v>
      </c>
      <c r="C12" s="238" t="s">
        <v>377</v>
      </c>
    </row>
    <row r="13" spans="1:4" ht="24" customHeight="1" x14ac:dyDescent="0.35">
      <c r="A13" s="995"/>
      <c r="B13" s="266" t="s">
        <v>140</v>
      </c>
      <c r="C13" s="238" t="s">
        <v>378</v>
      </c>
    </row>
    <row r="14" spans="1:4" ht="24" customHeight="1" x14ac:dyDescent="0.35">
      <c r="A14" s="995"/>
      <c r="B14" s="266" t="s">
        <v>331</v>
      </c>
      <c r="C14" s="238" t="s">
        <v>379</v>
      </c>
    </row>
    <row r="15" spans="1:4" ht="24" customHeight="1" x14ac:dyDescent="0.35">
      <c r="A15" s="995"/>
      <c r="B15" s="266" t="s">
        <v>98</v>
      </c>
      <c r="C15" s="238" t="s">
        <v>380</v>
      </c>
    </row>
    <row r="16" spans="1:4" ht="24" customHeight="1" x14ac:dyDescent="0.25">
      <c r="A16" s="995"/>
      <c r="B16" s="267" t="s">
        <v>96</v>
      </c>
      <c r="C16" s="238" t="s">
        <v>381</v>
      </c>
    </row>
    <row r="17" spans="1:3" ht="24" customHeight="1" x14ac:dyDescent="0.25">
      <c r="A17" s="996"/>
      <c r="B17" s="267" t="s">
        <v>325</v>
      </c>
      <c r="C17" s="238" t="s">
        <v>382</v>
      </c>
    </row>
    <row r="18" spans="1:3" ht="24" customHeight="1" x14ac:dyDescent="0.25">
      <c r="A18" s="997" t="s">
        <v>327</v>
      </c>
      <c r="B18" s="260" t="s">
        <v>327</v>
      </c>
      <c r="C18" s="238" t="s">
        <v>383</v>
      </c>
    </row>
    <row r="19" spans="1:3" ht="24" customHeight="1" x14ac:dyDescent="0.25">
      <c r="A19" s="998"/>
      <c r="B19" s="260" t="s">
        <v>328</v>
      </c>
      <c r="C19" s="238" t="s">
        <v>384</v>
      </c>
    </row>
    <row r="20" spans="1:3" ht="18" x14ac:dyDescent="0.25">
      <c r="A20" s="999" t="s">
        <v>326</v>
      </c>
      <c r="B20" s="261" t="s">
        <v>326</v>
      </c>
      <c r="C20" s="238" t="s">
        <v>385</v>
      </c>
    </row>
    <row r="21" spans="1:3" ht="24" customHeight="1" x14ac:dyDescent="0.25">
      <c r="A21" s="1000"/>
      <c r="B21" s="261" t="s">
        <v>329</v>
      </c>
      <c r="C21" s="238" t="s">
        <v>386</v>
      </c>
    </row>
    <row r="22" spans="1:3" ht="18" x14ac:dyDescent="0.25">
      <c r="A22" s="1001"/>
      <c r="B22" s="261" t="s">
        <v>330</v>
      </c>
      <c r="C22" s="238" t="s">
        <v>387</v>
      </c>
    </row>
    <row r="23" spans="1:3" ht="15.9" customHeight="1" x14ac:dyDescent="0.25">
      <c r="B23" s="70"/>
    </row>
    <row r="24" spans="1:3" ht="15.9" customHeight="1" thickBot="1" x14ac:dyDescent="0.35">
      <c r="B24" s="73"/>
    </row>
    <row r="25" spans="1:3" ht="15.9" customHeight="1" thickBot="1" x14ac:dyDescent="0.4">
      <c r="B25" s="157" t="s">
        <v>97</v>
      </c>
    </row>
    <row r="26" spans="1:3" ht="20.100000000000001" customHeight="1" x14ac:dyDescent="0.3">
      <c r="B26" s="153" t="s">
        <v>156</v>
      </c>
      <c r="C26" s="227" t="s">
        <v>388</v>
      </c>
    </row>
    <row r="27" spans="1:3" ht="20.100000000000001" customHeight="1" x14ac:dyDescent="0.25">
      <c r="B27" s="154" t="s">
        <v>332</v>
      </c>
      <c r="C27" s="228" t="s">
        <v>390</v>
      </c>
    </row>
    <row r="28" spans="1:3" ht="24.75" customHeight="1" thickBot="1" x14ac:dyDescent="0.3">
      <c r="B28" s="155" t="s">
        <v>333</v>
      </c>
      <c r="C28" s="229" t="s">
        <v>391</v>
      </c>
    </row>
    <row r="29" spans="1:3" ht="15.9" customHeight="1" x14ac:dyDescent="0.3">
      <c r="B29" s="71"/>
    </row>
    <row r="30" spans="1:3" ht="15.9" customHeight="1" x14ac:dyDescent="0.25">
      <c r="B30" s="72"/>
    </row>
  </sheetData>
  <mergeCells count="3">
    <mergeCell ref="A6:A17"/>
    <mergeCell ref="A18:A19"/>
    <mergeCell ref="A20:A22"/>
  </mergeCells>
  <hyperlinks>
    <hyperlink ref="C26" location="'Anexo-1 Ruta de Trabajo '!A1" display="DPSE-ANEXO 1"/>
    <hyperlink ref="C27" location="'Anexo-2 Clasif.Tematicos'!Área_de_impresión" display="DPSE-ANEXO 2"/>
    <hyperlink ref="C28" location="'Anexo-3 CRITERIOSPONDERACIÓN'!Área_de_impresión" display="SPPD-ANEXO 3"/>
    <hyperlink ref="C6" location="Introducción!A1" display="Ir a Introducción"/>
    <hyperlink ref="C8" location="'SPPD-02 AnalisisPolíticas'!Área_de_impresión" display="SPPD-02"/>
    <hyperlink ref="C10" location="'SPPD-04  Ident. Prior. de Prob.'!OLE_LINK5" display="SPPD-04"/>
    <hyperlink ref="C11" location="'SPPD-05 Población'!A1" display="SPPD-05"/>
    <hyperlink ref="C12" location="'SPPD-06 Evidencias'!Área_de_impresión" display="SPPD-06"/>
    <hyperlink ref="C13" location="'SPPD-7 Matriz PEI'!Área_de_impresión" display="SPPD-07"/>
    <hyperlink ref="C14" location="'SPPD-8 Ficha Indicador'!Área_de_impresión" display="SPPD-08"/>
    <hyperlink ref="C15" location="'SPPD-9 Visión, Misión, Valores'!Área_de_impresión" display="SPPD-09"/>
    <hyperlink ref="C16" location="'SPPD-10 FODA'!A1" display="SPPD-10"/>
    <hyperlink ref="C17" location="'SPPD-11 Análisis de Actores'!Área_de_impresión" display="SPPD-11"/>
    <hyperlink ref="C18" location="'SPPD-12 POM'!A1" display="SPPD-12"/>
    <hyperlink ref="C19" location="'SPPD-13 Ficha Seguimiento POM'!Área_de_impresión" display="SPPD-13"/>
    <hyperlink ref="C20" location="'SPPD-14 POA'!A1" display="SPPD-14"/>
    <hyperlink ref="C21" location="'SPPD-15PROG. MENS PROD.SUBP ACC'!Área_de_impresión" display="SPPD-15"/>
    <hyperlink ref="C22" location="'SPPD-16 Ficha Seguimiento POA '!Área_de_impresión" display="SPPD-16"/>
    <hyperlink ref="C7" location="'SPPD-01 Mandatos '!Área_de_impresión" display="SPPD-01"/>
    <hyperlink ref="C9" location="'SPPD-03 Alineación-Vinculacion'!A1" display="SPDP-03"/>
  </hyperlinks>
  <printOptions horizontalCentered="1"/>
  <pageMargins left="0.70866141732283472" right="0.70866141732283472" top="0.74803149606299213" bottom="0.74803149606299213" header="0.31496062992125984" footer="0.31496062992125984"/>
  <pageSetup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U17"/>
  <sheetViews>
    <sheetView zoomScale="90" zoomScaleNormal="90" workbookViewId="0">
      <selection activeCell="D8" sqref="D8"/>
    </sheetView>
  </sheetViews>
  <sheetFormatPr baseColWidth="10" defaultColWidth="11.44140625" defaultRowHeight="13.2" x14ac:dyDescent="0.25"/>
  <cols>
    <col min="1" max="1" width="45.6640625" style="13" customWidth="1"/>
    <col min="2" max="2" width="48.44140625" style="13" customWidth="1"/>
    <col min="3" max="3" width="13.88671875" style="13" customWidth="1"/>
    <col min="4" max="4" width="15" style="13" customWidth="1"/>
    <col min="5" max="5" width="14.44140625" style="13" customWidth="1"/>
    <col min="6" max="6" width="15.6640625" style="13" customWidth="1"/>
    <col min="7" max="16384" width="11.44140625" style="13"/>
  </cols>
  <sheetData>
    <row r="1" spans="1:21" ht="29.25" customHeight="1" thickBot="1" x14ac:dyDescent="0.35">
      <c r="A1" s="1168" t="s">
        <v>200</v>
      </c>
      <c r="B1" s="1169"/>
      <c r="C1" s="1589" t="s">
        <v>389</v>
      </c>
      <c r="D1" s="1590"/>
      <c r="G1" s="127"/>
      <c r="H1" s="127"/>
      <c r="I1" s="127"/>
      <c r="J1" s="127"/>
      <c r="K1" s="127"/>
      <c r="L1" s="127"/>
      <c r="M1" s="61"/>
      <c r="N1" s="61"/>
      <c r="O1" s="61"/>
      <c r="P1" s="61"/>
      <c r="Q1" s="61"/>
      <c r="R1" s="61"/>
      <c r="S1" s="61"/>
      <c r="T1" s="61"/>
      <c r="U1" s="61"/>
    </row>
    <row r="2" spans="1:21" ht="27" customHeight="1" thickBot="1" x14ac:dyDescent="0.35">
      <c r="A2" s="1586" t="s">
        <v>17</v>
      </c>
      <c r="B2" s="1587"/>
      <c r="C2" s="1587"/>
      <c r="D2" s="1588"/>
      <c r="E2" s="49"/>
      <c r="F2" s="49"/>
    </row>
    <row r="3" spans="1:21" ht="50.25" customHeight="1" x14ac:dyDescent="0.25">
      <c r="A3" s="1594" t="s">
        <v>196</v>
      </c>
      <c r="B3" s="1592" t="s">
        <v>199</v>
      </c>
      <c r="C3" s="1591" t="s">
        <v>367</v>
      </c>
      <c r="D3" s="1379"/>
    </row>
    <row r="4" spans="1:21" ht="30" customHeight="1" thickBot="1" x14ac:dyDescent="0.3">
      <c r="A4" s="1595"/>
      <c r="B4" s="1593"/>
      <c r="C4" s="151" t="s">
        <v>197</v>
      </c>
      <c r="D4" s="152" t="s">
        <v>198</v>
      </c>
    </row>
    <row r="5" spans="1:21" ht="30" customHeight="1" x14ac:dyDescent="0.25">
      <c r="A5" s="150" t="s">
        <v>857</v>
      </c>
      <c r="B5" s="51" t="s">
        <v>858</v>
      </c>
      <c r="C5" s="50">
        <f>SUM(C6:C9)</f>
        <v>24314</v>
      </c>
      <c r="D5" s="577">
        <f>SUM(D6:D9)</f>
        <v>6782093</v>
      </c>
    </row>
    <row r="6" spans="1:21" ht="30" customHeight="1" x14ac:dyDescent="0.25">
      <c r="A6" s="150"/>
      <c r="B6" s="51" t="s">
        <v>859</v>
      </c>
      <c r="C6" s="50">
        <v>3798</v>
      </c>
      <c r="D6" s="576" t="s">
        <v>863</v>
      </c>
    </row>
    <row r="7" spans="1:21" ht="30" customHeight="1" x14ac:dyDescent="0.25">
      <c r="A7" s="145"/>
      <c r="B7" s="51" t="s">
        <v>860</v>
      </c>
      <c r="C7" s="51">
        <v>3356</v>
      </c>
      <c r="D7" s="576" t="s">
        <v>864</v>
      </c>
    </row>
    <row r="8" spans="1:21" ht="38.25" customHeight="1" x14ac:dyDescent="0.25">
      <c r="A8" s="145"/>
      <c r="B8" s="51" t="s">
        <v>861</v>
      </c>
      <c r="C8" s="51">
        <v>2824</v>
      </c>
      <c r="D8" s="576">
        <v>3053389</v>
      </c>
    </row>
    <row r="9" spans="1:21" ht="45.75" customHeight="1" x14ac:dyDescent="0.25">
      <c r="A9" s="145"/>
      <c r="B9" s="51" t="s">
        <v>862</v>
      </c>
      <c r="C9" s="51">
        <v>14336</v>
      </c>
      <c r="D9" s="576">
        <v>3728704</v>
      </c>
    </row>
    <row r="10" spans="1:21" ht="30" customHeight="1" x14ac:dyDescent="0.25">
      <c r="A10" s="145"/>
      <c r="B10" s="51"/>
      <c r="C10" s="51"/>
      <c r="D10" s="146"/>
    </row>
    <row r="11" spans="1:21" ht="30" customHeight="1" x14ac:dyDescent="0.25">
      <c r="A11" s="145"/>
      <c r="B11" s="51"/>
      <c r="C11" s="51"/>
      <c r="D11" s="146"/>
    </row>
    <row r="12" spans="1:21" ht="30" customHeight="1" x14ac:dyDescent="0.25">
      <c r="A12" s="145"/>
      <c r="B12" s="51"/>
      <c r="C12" s="51"/>
      <c r="D12" s="146"/>
    </row>
    <row r="13" spans="1:21" ht="30" customHeight="1" x14ac:dyDescent="0.25">
      <c r="A13" s="145"/>
      <c r="B13" s="51"/>
      <c r="C13" s="51"/>
      <c r="D13" s="146"/>
    </row>
    <row r="14" spans="1:21" ht="30" customHeight="1" x14ac:dyDescent="0.25">
      <c r="A14" s="145"/>
      <c r="B14" s="51"/>
      <c r="C14" s="51"/>
      <c r="D14" s="146"/>
    </row>
    <row r="15" spans="1:21" ht="30" customHeight="1" thickBot="1" x14ac:dyDescent="0.3">
      <c r="A15" s="147"/>
      <c r="B15" s="148"/>
      <c r="C15" s="148"/>
      <c r="D15" s="149"/>
    </row>
    <row r="17" spans="1:4" ht="27" customHeight="1" x14ac:dyDescent="0.25">
      <c r="A17" s="1585" t="s">
        <v>441</v>
      </c>
      <c r="B17" s="1585"/>
      <c r="C17" s="1585"/>
      <c r="D17" s="1585"/>
    </row>
  </sheetData>
  <mergeCells count="7">
    <mergeCell ref="A17:D17"/>
    <mergeCell ref="A2:D2"/>
    <mergeCell ref="C1:D1"/>
    <mergeCell ref="C3:D3"/>
    <mergeCell ref="B3:B4"/>
    <mergeCell ref="A3:A4"/>
    <mergeCell ref="A1:B1"/>
  </mergeCells>
  <printOptions horizontalCentered="1"/>
  <pageMargins left="0.51181102362204722" right="0.51181102362204722" top="0.47244094488188981" bottom="0.51181102362204722" header="0" footer="0"/>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D5" sqref="D5:D8"/>
    </sheetView>
  </sheetViews>
  <sheetFormatPr baseColWidth="10" defaultRowHeight="13.2" x14ac:dyDescent="0.25"/>
  <cols>
    <col min="2" max="2" width="21.88671875" customWidth="1"/>
    <col min="3" max="3" width="18" customWidth="1"/>
    <col min="4" max="4" width="16.6640625" customWidth="1"/>
    <col min="5" max="5" width="15.5546875" customWidth="1"/>
    <col min="6" max="6" width="15.44140625" customWidth="1"/>
    <col min="7" max="7" width="17" customWidth="1"/>
    <col min="8" max="8" width="25.33203125" customWidth="1"/>
  </cols>
  <sheetData>
    <row r="1" spans="1:8" ht="18.600000000000001" thickBot="1" x14ac:dyDescent="0.3">
      <c r="A1" s="1596" t="s">
        <v>839</v>
      </c>
      <c r="B1" s="1597"/>
      <c r="C1" s="1597"/>
      <c r="D1" s="1597"/>
      <c r="E1" s="1597"/>
      <c r="F1" s="1597"/>
      <c r="G1" s="1597"/>
      <c r="H1" s="1597"/>
    </row>
    <row r="2" spans="1:8" ht="36" customHeight="1" thickBot="1" x14ac:dyDescent="0.35">
      <c r="A2" s="1598" t="s">
        <v>840</v>
      </c>
      <c r="B2" s="1599"/>
      <c r="C2" s="1599"/>
      <c r="D2" s="1599"/>
      <c r="E2" s="1599"/>
      <c r="F2" s="1599"/>
      <c r="G2" s="1599"/>
      <c r="H2" s="1599"/>
    </row>
    <row r="3" spans="1:8" ht="62.4" x14ac:dyDescent="0.25">
      <c r="A3" s="572" t="s">
        <v>841</v>
      </c>
      <c r="B3" s="573" t="s">
        <v>842</v>
      </c>
      <c r="C3" s="573" t="s">
        <v>843</v>
      </c>
      <c r="D3" s="574" t="s">
        <v>844</v>
      </c>
      <c r="E3" s="574" t="s">
        <v>845</v>
      </c>
      <c r="F3" s="574" t="s">
        <v>846</v>
      </c>
      <c r="G3" s="574" t="s">
        <v>847</v>
      </c>
      <c r="H3" s="574" t="s">
        <v>848</v>
      </c>
    </row>
    <row r="4" spans="1:8" ht="175.5" customHeight="1" x14ac:dyDescent="0.25">
      <c r="A4" s="543" t="s">
        <v>824</v>
      </c>
      <c r="B4" s="544" t="s">
        <v>825</v>
      </c>
      <c r="C4" s="544" t="s">
        <v>826</v>
      </c>
      <c r="D4" s="545" t="s">
        <v>827</v>
      </c>
      <c r="E4" s="545" t="s">
        <v>828</v>
      </c>
      <c r="F4" s="575" t="s">
        <v>849</v>
      </c>
      <c r="G4" s="575" t="s">
        <v>850</v>
      </c>
      <c r="H4" s="545" t="s">
        <v>851</v>
      </c>
    </row>
    <row r="5" spans="1:8" ht="101.25" customHeight="1" x14ac:dyDescent="0.25">
      <c r="A5" s="1382" t="s">
        <v>829</v>
      </c>
      <c r="B5" s="1344" t="s">
        <v>830</v>
      </c>
      <c r="C5" s="1344" t="s">
        <v>831</v>
      </c>
      <c r="D5" s="1344" t="s">
        <v>827</v>
      </c>
      <c r="E5" s="1344" t="s">
        <v>832</v>
      </c>
      <c r="F5" s="1600" t="s">
        <v>849</v>
      </c>
      <c r="G5" s="1344" t="s">
        <v>852</v>
      </c>
      <c r="H5" s="545" t="s">
        <v>853</v>
      </c>
    </row>
    <row r="6" spans="1:8" ht="9" hidden="1" customHeight="1" x14ac:dyDescent="0.25">
      <c r="A6" s="1383"/>
      <c r="B6" s="1345"/>
      <c r="C6" s="1345"/>
      <c r="D6" s="1345"/>
      <c r="E6" s="1345"/>
      <c r="F6" s="1600"/>
      <c r="G6" s="1345"/>
      <c r="H6" s="1344" t="s">
        <v>854</v>
      </c>
    </row>
    <row r="7" spans="1:8" ht="13.8" hidden="1" x14ac:dyDescent="0.25">
      <c r="A7" s="1383"/>
      <c r="B7" s="1345"/>
      <c r="C7" s="1345"/>
      <c r="D7" s="1345"/>
      <c r="E7" s="1345"/>
      <c r="F7" s="1600"/>
      <c r="G7" s="548"/>
      <c r="H7" s="1601"/>
    </row>
    <row r="8" spans="1:8" ht="207" customHeight="1" x14ac:dyDescent="0.25">
      <c r="A8" s="1384"/>
      <c r="B8" s="1346"/>
      <c r="C8" s="1346"/>
      <c r="D8" s="1346"/>
      <c r="E8" s="1346"/>
      <c r="F8" s="1600"/>
      <c r="G8" s="545" t="s">
        <v>855</v>
      </c>
      <c r="H8" s="545" t="s">
        <v>856</v>
      </c>
    </row>
  </sheetData>
  <mergeCells count="10">
    <mergeCell ref="A1:H1"/>
    <mergeCell ref="A2:H2"/>
    <mergeCell ref="A5:A8"/>
    <mergeCell ref="B5:B8"/>
    <mergeCell ref="C5:C8"/>
    <mergeCell ref="D5:D8"/>
    <mergeCell ref="E5:E8"/>
    <mergeCell ref="F5:F8"/>
    <mergeCell ref="G5:G6"/>
    <mergeCell ref="H6:H7"/>
  </mergeCells>
  <pageMargins left="0.70866141732283472" right="0.70866141732283472" top="0.74803149606299213" bottom="0.74803149606299213" header="0.31496062992125984" footer="0.31496062992125984"/>
  <pageSetup scale="80" orientation="landscape"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1:C26"/>
  <sheetViews>
    <sheetView zoomScale="70" zoomScaleNormal="70" zoomScaleSheetLayoutView="90" workbookViewId="0">
      <selection activeCell="B29" sqref="B29"/>
    </sheetView>
  </sheetViews>
  <sheetFormatPr baseColWidth="10" defaultColWidth="11.44140625" defaultRowHeight="13.2" x14ac:dyDescent="0.25"/>
  <cols>
    <col min="1" max="1" width="7.33203125" customWidth="1"/>
    <col min="2" max="2" width="144.33203125" customWidth="1"/>
  </cols>
  <sheetData>
    <row r="1" spans="1:3" s="35" customFormat="1" ht="46.5" customHeight="1" x14ac:dyDescent="0.25">
      <c r="B1" s="243" t="s">
        <v>340</v>
      </c>
    </row>
    <row r="2" spans="1:3" s="31" customFormat="1" ht="18" customHeight="1" thickBot="1" x14ac:dyDescent="0.3">
      <c r="B2" s="74"/>
    </row>
    <row r="3" spans="1:3" ht="24" customHeight="1" thickBot="1" x14ac:dyDescent="0.3">
      <c r="B3" s="200" t="s">
        <v>55</v>
      </c>
      <c r="C3" s="250"/>
    </row>
    <row r="5" spans="1:3" ht="18" x14ac:dyDescent="0.25">
      <c r="B5" s="63" t="s">
        <v>56</v>
      </c>
    </row>
    <row r="6" spans="1:3" ht="15.6" thickBot="1" x14ac:dyDescent="0.3">
      <c r="B6" s="19"/>
    </row>
    <row r="7" spans="1:3" ht="186" customHeight="1" thickBot="1" x14ac:dyDescent="0.3">
      <c r="B7" s="232" t="s">
        <v>415</v>
      </c>
    </row>
    <row r="8" spans="1:3" s="35" customFormat="1" ht="40.5" customHeight="1" thickBot="1" x14ac:dyDescent="0.3">
      <c r="B8" s="231"/>
    </row>
    <row r="9" spans="1:3" ht="137.25" customHeight="1" thickBot="1" x14ac:dyDescent="0.3">
      <c r="B9" s="232" t="s">
        <v>416</v>
      </c>
    </row>
    <row r="10" spans="1:3" s="35" customFormat="1" ht="79.5" customHeight="1" x14ac:dyDescent="0.25">
      <c r="B10" s="262" t="s">
        <v>341</v>
      </c>
    </row>
    <row r="11" spans="1:3" ht="32.25" customHeight="1" thickBot="1" x14ac:dyDescent="0.3">
      <c r="A11" s="20"/>
      <c r="B11" s="64"/>
    </row>
    <row r="12" spans="1:3" ht="128.25" customHeight="1" thickBot="1" x14ac:dyDescent="0.3">
      <c r="B12" s="232" t="s">
        <v>342</v>
      </c>
    </row>
    <row r="14" spans="1:3" s="35" customFormat="1" ht="18" x14ac:dyDescent="0.35">
      <c r="B14" s="65" t="s">
        <v>343</v>
      </c>
    </row>
    <row r="15" spans="1:3" s="35" customFormat="1" x14ac:dyDescent="0.25"/>
    <row r="16" spans="1:3" ht="40.5" customHeight="1" x14ac:dyDescent="0.3">
      <c r="B16" s="244" t="s">
        <v>417</v>
      </c>
    </row>
    <row r="17" spans="2:2" ht="20.25" customHeight="1" x14ac:dyDescent="0.3">
      <c r="B17" s="268" t="s">
        <v>411</v>
      </c>
    </row>
    <row r="18" spans="2:2" ht="21" customHeight="1" x14ac:dyDescent="0.3">
      <c r="B18" s="237" t="s">
        <v>352</v>
      </c>
    </row>
    <row r="19" spans="2:2" ht="39" customHeight="1" x14ac:dyDescent="0.3">
      <c r="B19" s="244" t="s">
        <v>355</v>
      </c>
    </row>
    <row r="21" spans="2:2" ht="18" x14ac:dyDescent="0.35">
      <c r="B21" s="65" t="s">
        <v>344</v>
      </c>
    </row>
    <row r="22" spans="2:2" ht="17.399999999999999" x14ac:dyDescent="0.3">
      <c r="B22" s="237" t="s">
        <v>345</v>
      </c>
    </row>
    <row r="23" spans="2:2" ht="17.399999999999999" x14ac:dyDescent="0.3">
      <c r="B23" s="237"/>
    </row>
    <row r="24" spans="2:2" ht="17.399999999999999" x14ac:dyDescent="0.3">
      <c r="B24" s="237"/>
    </row>
    <row r="25" spans="2:2" ht="17.399999999999999" x14ac:dyDescent="0.3">
      <c r="B25" s="237"/>
    </row>
    <row r="26" spans="2:2" ht="17.399999999999999" x14ac:dyDescent="0.3">
      <c r="B26" s="237"/>
    </row>
  </sheetData>
  <hyperlinks>
    <hyperlink ref="B10" r:id="rId1"/>
  </hyperlinks>
  <pageMargins left="0.7" right="0.7" top="0.75" bottom="0.75" header="0.3" footer="0.3"/>
  <pageSetup scale="6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sheetPr>
  <dimension ref="A1:H48"/>
  <sheetViews>
    <sheetView view="pageBreakPreview" topLeftCell="A3" zoomScaleNormal="100" zoomScaleSheetLayoutView="100" workbookViewId="0">
      <selection activeCell="C10" sqref="A6:C48"/>
    </sheetView>
  </sheetViews>
  <sheetFormatPr baseColWidth="10" defaultColWidth="11.44140625" defaultRowHeight="13.2" x14ac:dyDescent="0.25"/>
  <cols>
    <col min="1" max="1" width="68.44140625" style="13" customWidth="1"/>
    <col min="2" max="2" width="54.109375" style="13" customWidth="1"/>
    <col min="3" max="3" width="53.33203125" style="13" customWidth="1"/>
    <col min="4" max="4" width="23.109375" style="13" customWidth="1"/>
    <col min="5" max="5" width="40.88671875" style="13" customWidth="1"/>
    <col min="6" max="16384" width="11.44140625" style="13"/>
  </cols>
  <sheetData>
    <row r="1" spans="1:8" ht="18.600000000000001" thickBot="1" x14ac:dyDescent="0.3">
      <c r="A1" s="1003" t="s">
        <v>396</v>
      </c>
      <c r="B1" s="1004"/>
      <c r="C1" s="77" t="s">
        <v>372</v>
      </c>
    </row>
    <row r="2" spans="1:8" s="76" customFormat="1" ht="18.600000000000001" thickBot="1" x14ac:dyDescent="0.3">
      <c r="A2" s="78"/>
      <c r="B2" s="78"/>
      <c r="C2" s="75"/>
    </row>
    <row r="3" spans="1:8" ht="27" customHeight="1" thickBot="1" x14ac:dyDescent="0.3">
      <c r="A3" s="1005" t="s">
        <v>17</v>
      </c>
      <c r="B3" s="1006"/>
      <c r="C3" s="1006"/>
      <c r="D3" s="66"/>
      <c r="E3" s="66"/>
    </row>
    <row r="4" spans="1:8" ht="16.5" customHeight="1" x14ac:dyDescent="0.25">
      <c r="A4" s="67" t="s">
        <v>87</v>
      </c>
      <c r="B4" s="67" t="s">
        <v>88</v>
      </c>
      <c r="C4" s="67" t="s">
        <v>89</v>
      </c>
      <c r="D4" s="66"/>
      <c r="E4" s="66"/>
    </row>
    <row r="5" spans="1:8" ht="53.25" customHeight="1" x14ac:dyDescent="0.25">
      <c r="A5" s="619" t="s">
        <v>412</v>
      </c>
      <c r="B5" s="620" t="s">
        <v>397</v>
      </c>
      <c r="C5" s="620" t="s">
        <v>95</v>
      </c>
      <c r="D5" s="62"/>
      <c r="E5" s="1002"/>
      <c r="F5" s="17"/>
      <c r="G5" s="17"/>
      <c r="H5" s="17"/>
    </row>
    <row r="6" spans="1:8" ht="53.25" customHeight="1" x14ac:dyDescent="0.25">
      <c r="A6" s="621" t="s">
        <v>534</v>
      </c>
      <c r="B6" s="1007" t="s">
        <v>535</v>
      </c>
      <c r="C6" s="1008" t="s">
        <v>536</v>
      </c>
      <c r="D6" s="62"/>
      <c r="E6" s="1002"/>
      <c r="F6" s="17"/>
      <c r="G6" s="17"/>
      <c r="H6" s="17"/>
    </row>
    <row r="7" spans="1:8" ht="53.25" customHeight="1" x14ac:dyDescent="0.25">
      <c r="A7" s="622" t="s">
        <v>537</v>
      </c>
      <c r="B7" s="1007"/>
      <c r="C7" s="1008"/>
      <c r="D7" s="62"/>
      <c r="E7" s="1002"/>
      <c r="F7" s="17"/>
      <c r="G7" s="17"/>
      <c r="H7" s="17"/>
    </row>
    <row r="8" spans="1:8" ht="53.25" customHeight="1" x14ac:dyDescent="0.25">
      <c r="A8" s="622" t="s">
        <v>538</v>
      </c>
      <c r="B8" s="1007"/>
      <c r="C8" s="1008"/>
      <c r="D8" s="62"/>
      <c r="E8" s="1002"/>
      <c r="F8" s="17"/>
      <c r="G8" s="17"/>
      <c r="H8" s="17"/>
    </row>
    <row r="9" spans="1:8" ht="246" customHeight="1" x14ac:dyDescent="0.25">
      <c r="A9" s="554" t="s">
        <v>539</v>
      </c>
      <c r="B9" s="1007"/>
      <c r="C9" s="1008"/>
      <c r="D9" s="62"/>
      <c r="E9" s="1002"/>
      <c r="F9" s="17"/>
      <c r="G9" s="17"/>
      <c r="H9" s="17"/>
    </row>
    <row r="10" spans="1:8" ht="53.25" customHeight="1" x14ac:dyDescent="0.25">
      <c r="A10" s="554" t="s">
        <v>540</v>
      </c>
      <c r="B10" s="1007"/>
      <c r="C10" s="1007" t="s">
        <v>541</v>
      </c>
      <c r="D10" s="62"/>
      <c r="E10" s="1002"/>
      <c r="F10" s="17"/>
      <c r="G10" s="17"/>
      <c r="H10" s="17"/>
    </row>
    <row r="11" spans="1:8" ht="53.25" customHeight="1" x14ac:dyDescent="0.25">
      <c r="A11" s="554" t="s">
        <v>542</v>
      </c>
      <c r="B11" s="1007"/>
      <c r="C11" s="1009"/>
      <c r="D11" s="62"/>
      <c r="E11" s="1002"/>
      <c r="F11" s="17"/>
      <c r="G11" s="17"/>
      <c r="H11" s="17"/>
    </row>
    <row r="12" spans="1:8" ht="53.25" customHeight="1" x14ac:dyDescent="0.25">
      <c r="A12" s="554" t="s">
        <v>543</v>
      </c>
      <c r="B12" s="1007"/>
      <c r="C12" s="1009"/>
      <c r="D12" s="62"/>
      <c r="E12" s="1002"/>
      <c r="F12" s="17"/>
      <c r="G12" s="17"/>
      <c r="H12" s="17"/>
    </row>
    <row r="13" spans="1:8" ht="53.25" customHeight="1" x14ac:dyDescent="0.25">
      <c r="A13" s="549" t="s">
        <v>544</v>
      </c>
      <c r="B13" s="1007"/>
      <c r="C13" s="1009"/>
      <c r="D13" s="62"/>
      <c r="E13" s="1002"/>
      <c r="F13" s="17"/>
      <c r="G13" s="17"/>
      <c r="H13" s="17"/>
    </row>
    <row r="14" spans="1:8" ht="53.25" customHeight="1" x14ac:dyDescent="0.25">
      <c r="A14" s="550" t="s">
        <v>545</v>
      </c>
      <c r="B14" s="1007"/>
      <c r="C14" s="1009"/>
      <c r="D14" s="62"/>
      <c r="E14" s="1002"/>
      <c r="F14" s="17"/>
      <c r="G14" s="17"/>
      <c r="H14" s="17"/>
    </row>
    <row r="15" spans="1:8" ht="39.9" customHeight="1" x14ac:dyDescent="0.25">
      <c r="A15" s="551" t="s">
        <v>546</v>
      </c>
      <c r="B15" s="1007"/>
      <c r="C15" s="1009"/>
      <c r="D15" s="25"/>
      <c r="E15" s="1002"/>
      <c r="F15" s="17"/>
      <c r="G15" s="17"/>
      <c r="H15" s="17"/>
    </row>
    <row r="16" spans="1:8" ht="39.9" customHeight="1" x14ac:dyDescent="0.25">
      <c r="A16" s="551"/>
      <c r="B16" s="1007"/>
      <c r="C16" s="1009"/>
      <c r="D16" s="25"/>
      <c r="E16" s="1002"/>
      <c r="F16" s="17"/>
      <c r="G16" s="17"/>
      <c r="H16" s="17"/>
    </row>
    <row r="17" spans="1:8" ht="39.9" customHeight="1" x14ac:dyDescent="0.25">
      <c r="A17" s="552" t="s">
        <v>547</v>
      </c>
      <c r="B17" s="1007"/>
      <c r="C17" s="1009"/>
      <c r="D17" s="25"/>
      <c r="E17" s="1002"/>
      <c r="F17" s="17"/>
      <c r="G17" s="17"/>
      <c r="H17" s="17"/>
    </row>
    <row r="18" spans="1:8" ht="39.9" customHeight="1" x14ac:dyDescent="0.25">
      <c r="A18" s="551" t="s">
        <v>548</v>
      </c>
      <c r="B18" s="1007"/>
      <c r="C18" s="1009"/>
      <c r="D18" s="25"/>
      <c r="E18" s="1002"/>
      <c r="F18" s="17"/>
      <c r="G18" s="17"/>
      <c r="H18" s="17"/>
    </row>
    <row r="19" spans="1:8" ht="39.9" customHeight="1" x14ac:dyDescent="0.25">
      <c r="A19" s="551" t="s">
        <v>549</v>
      </c>
      <c r="B19" s="1007"/>
      <c r="C19" s="1009"/>
      <c r="D19" s="25"/>
      <c r="E19" s="1002"/>
      <c r="F19" s="17"/>
      <c r="G19" s="17"/>
      <c r="H19" s="17"/>
    </row>
    <row r="20" spans="1:8" ht="39.9" customHeight="1" x14ac:dyDescent="0.25">
      <c r="A20" s="551" t="s">
        <v>550</v>
      </c>
      <c r="B20" s="1007"/>
      <c r="C20" s="1009"/>
      <c r="D20" s="25"/>
      <c r="E20" s="1002"/>
      <c r="F20" s="17"/>
      <c r="G20" s="17"/>
      <c r="H20" s="17"/>
    </row>
    <row r="21" spans="1:8" ht="39.9" customHeight="1" x14ac:dyDescent="0.25">
      <c r="A21" s="551" t="s">
        <v>551</v>
      </c>
      <c r="B21" s="1007"/>
      <c r="C21" s="1009"/>
      <c r="D21" s="25"/>
      <c r="E21" s="1002"/>
      <c r="F21" s="17"/>
      <c r="G21" s="17"/>
      <c r="H21" s="17"/>
    </row>
    <row r="22" spans="1:8" ht="39.9" customHeight="1" x14ac:dyDescent="0.25">
      <c r="A22" s="553" t="s">
        <v>552</v>
      </c>
      <c r="B22" s="1007"/>
      <c r="C22" s="1009"/>
      <c r="D22" s="26"/>
      <c r="E22" s="1002"/>
      <c r="F22" s="17"/>
      <c r="G22" s="17"/>
      <c r="H22" s="17"/>
    </row>
    <row r="23" spans="1:8" ht="32.25" customHeight="1" x14ac:dyDescent="0.25">
      <c r="A23" s="550" t="s">
        <v>553</v>
      </c>
      <c r="B23" s="1007"/>
      <c r="C23" s="1009"/>
      <c r="D23" s="27"/>
      <c r="E23" s="1002"/>
      <c r="F23" s="17"/>
      <c r="G23" s="17"/>
      <c r="H23" s="17"/>
    </row>
    <row r="24" spans="1:8" ht="39.9" customHeight="1" x14ac:dyDescent="0.25">
      <c r="A24" s="553" t="s">
        <v>554</v>
      </c>
      <c r="B24" s="1007"/>
      <c r="C24" s="1009"/>
      <c r="D24" s="17"/>
      <c r="E24" s="17"/>
      <c r="F24" s="17"/>
      <c r="G24" s="17"/>
      <c r="H24" s="17"/>
    </row>
    <row r="25" spans="1:8" ht="39.9" customHeight="1" x14ac:dyDescent="0.25">
      <c r="A25" s="553" t="s">
        <v>555</v>
      </c>
      <c r="B25" s="1007"/>
      <c r="C25" s="1009"/>
      <c r="D25" s="17"/>
      <c r="E25" s="17"/>
      <c r="F25" s="17"/>
      <c r="G25" s="17"/>
      <c r="H25" s="17"/>
    </row>
    <row r="26" spans="1:8" ht="39.9" customHeight="1" x14ac:dyDescent="0.25">
      <c r="A26" s="553" t="s">
        <v>556</v>
      </c>
      <c r="B26" s="1007"/>
      <c r="C26" s="1009"/>
      <c r="D26" s="17"/>
      <c r="E26" s="17"/>
      <c r="F26" s="17"/>
      <c r="G26" s="17"/>
      <c r="H26" s="17"/>
    </row>
    <row r="27" spans="1:8" ht="39.9" customHeight="1" x14ac:dyDescent="0.25">
      <c r="A27" s="553" t="s">
        <v>557</v>
      </c>
      <c r="B27" s="1007"/>
      <c r="C27" s="1009"/>
      <c r="D27" s="17"/>
      <c r="E27" s="17"/>
      <c r="F27" s="17"/>
      <c r="G27" s="17"/>
      <c r="H27" s="17"/>
    </row>
    <row r="28" spans="1:8" ht="39.9" customHeight="1" x14ac:dyDescent="0.25">
      <c r="A28" s="554" t="s">
        <v>540</v>
      </c>
      <c r="B28" s="1007"/>
      <c r="C28" s="1009"/>
      <c r="D28" s="17"/>
      <c r="E28" s="17"/>
      <c r="F28" s="17"/>
      <c r="G28" s="17"/>
      <c r="H28" s="17"/>
    </row>
    <row r="29" spans="1:8" ht="33.75" customHeight="1" x14ac:dyDescent="0.25">
      <c r="A29" s="555" t="s">
        <v>558</v>
      </c>
      <c r="B29" s="1007"/>
      <c r="C29" s="1009"/>
      <c r="D29" s="17"/>
      <c r="E29" s="17"/>
      <c r="F29" s="17"/>
      <c r="G29" s="17"/>
      <c r="H29" s="17"/>
    </row>
    <row r="30" spans="1:8" ht="24.75" customHeight="1" x14ac:dyDescent="0.25">
      <c r="A30" s="555" t="s">
        <v>543</v>
      </c>
      <c r="B30" s="1007"/>
      <c r="C30" s="1009"/>
      <c r="D30" s="32"/>
      <c r="E30" s="32"/>
    </row>
    <row r="31" spans="1:8" ht="111.75" customHeight="1" x14ac:dyDescent="0.25">
      <c r="A31" s="555" t="s">
        <v>559</v>
      </c>
      <c r="B31" s="1007"/>
      <c r="C31" s="1009"/>
      <c r="D31" s="32"/>
      <c r="E31" s="32"/>
    </row>
    <row r="32" spans="1:8" ht="90" customHeight="1" x14ac:dyDescent="0.25">
      <c r="A32" s="556" t="s">
        <v>560</v>
      </c>
      <c r="B32" s="1007"/>
      <c r="C32" s="1009"/>
    </row>
    <row r="33" spans="1:3" ht="12.75" customHeight="1" x14ac:dyDescent="0.25">
      <c r="A33" s="556"/>
      <c r="B33" s="1007"/>
      <c r="C33" s="1009"/>
    </row>
    <row r="34" spans="1:3" ht="12.75" customHeight="1" x14ac:dyDescent="0.25">
      <c r="A34" s="556" t="s">
        <v>561</v>
      </c>
      <c r="B34" s="1007"/>
      <c r="C34" s="1009"/>
    </row>
    <row r="35" spans="1:3" x14ac:dyDescent="0.25">
      <c r="A35" s="1010" t="s">
        <v>562</v>
      </c>
      <c r="B35" s="1007"/>
      <c r="C35" s="1009"/>
    </row>
    <row r="36" spans="1:3" x14ac:dyDescent="0.25">
      <c r="A36" s="1010"/>
      <c r="B36" s="1007"/>
      <c r="C36" s="1009"/>
    </row>
    <row r="37" spans="1:3" x14ac:dyDescent="0.25">
      <c r="A37" s="557" t="s">
        <v>563</v>
      </c>
      <c r="B37" s="1007"/>
      <c r="C37" s="1009"/>
    </row>
    <row r="38" spans="1:3" x14ac:dyDescent="0.25">
      <c r="A38" s="556" t="s">
        <v>564</v>
      </c>
      <c r="B38" s="1007"/>
      <c r="C38" s="1009"/>
    </row>
    <row r="39" spans="1:3" x14ac:dyDescent="0.25">
      <c r="A39" s="556" t="s">
        <v>565</v>
      </c>
      <c r="B39" s="1007"/>
      <c r="C39" s="1009"/>
    </row>
    <row r="40" spans="1:3" ht="26.4" x14ac:dyDescent="0.25">
      <c r="A40" s="556" t="s">
        <v>566</v>
      </c>
      <c r="B40" s="1007"/>
      <c r="C40" s="1009"/>
    </row>
    <row r="41" spans="1:3" x14ac:dyDescent="0.25">
      <c r="A41" s="558" t="s">
        <v>567</v>
      </c>
      <c r="B41" s="1007"/>
      <c r="C41" s="1009"/>
    </row>
    <row r="42" spans="1:3" x14ac:dyDescent="0.25">
      <c r="A42" s="558" t="s">
        <v>568</v>
      </c>
      <c r="B42" s="1007"/>
      <c r="C42" s="1009"/>
    </row>
    <row r="43" spans="1:3" x14ac:dyDescent="0.25">
      <c r="A43" s="558" t="s">
        <v>569</v>
      </c>
      <c r="B43" s="1007"/>
      <c r="C43" s="1009"/>
    </row>
    <row r="44" spans="1:3" x14ac:dyDescent="0.25">
      <c r="A44" s="558" t="s">
        <v>570</v>
      </c>
      <c r="B44" s="1007"/>
      <c r="C44" s="1009"/>
    </row>
    <row r="45" spans="1:3" x14ac:dyDescent="0.25">
      <c r="A45" s="558" t="s">
        <v>571</v>
      </c>
      <c r="B45" s="1007"/>
      <c r="C45" s="1009"/>
    </row>
    <row r="46" spans="1:3" x14ac:dyDescent="0.25">
      <c r="A46" s="557" t="s">
        <v>572</v>
      </c>
      <c r="B46" s="1007"/>
      <c r="C46" s="1009"/>
    </row>
    <row r="47" spans="1:3" x14ac:dyDescent="0.25">
      <c r="A47" s="557" t="s">
        <v>573</v>
      </c>
      <c r="B47" s="1007"/>
      <c r="C47" s="1009"/>
    </row>
    <row r="48" spans="1:3" ht="13.8" x14ac:dyDescent="0.25">
      <c r="A48" s="554" t="s">
        <v>574</v>
      </c>
      <c r="B48" s="1007"/>
      <c r="C48" s="1009"/>
    </row>
  </sheetData>
  <mergeCells count="7">
    <mergeCell ref="E5:E23"/>
    <mergeCell ref="A1:B1"/>
    <mergeCell ref="A3:C3"/>
    <mergeCell ref="B6:B48"/>
    <mergeCell ref="C6:C9"/>
    <mergeCell ref="C10:C48"/>
    <mergeCell ref="A35:A36"/>
  </mergeCells>
  <hyperlinks>
    <hyperlink ref="A34" r:id="rId1" display="http://daccess-dds-ny.un.org/doc/UNDOC/GEN/N08/391/47/PDF/N0839147.pdf?OpenElement"/>
    <hyperlink ref="A35" r:id="rId2" display="http://www.oas.org/juridico/spanish/tratados/a-61.html"/>
  </hyperlinks>
  <pageMargins left="0.70866141732283472" right="0.70866141732283472" top="0.83" bottom="0.61" header="0.17" footer="0.31496062992125984"/>
  <pageSetup scale="70" fitToHeight="0" orientation="landscape" r:id="rId3"/>
  <rowBreaks count="2" manualBreakCount="2">
    <brk id="12" max="2" man="1"/>
    <brk id="30" max="2"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4"/>
  </sheetPr>
  <dimension ref="A1:P20"/>
  <sheetViews>
    <sheetView view="pageBreakPreview" topLeftCell="A13" zoomScaleNormal="100" zoomScaleSheetLayoutView="100" workbookViewId="0">
      <selection activeCell="B31" sqref="B31"/>
    </sheetView>
  </sheetViews>
  <sheetFormatPr baseColWidth="10" defaultColWidth="11.44140625" defaultRowHeight="13.2" x14ac:dyDescent="0.25"/>
  <cols>
    <col min="1" max="1" width="4.44140625" style="13" bestFit="1" customWidth="1"/>
    <col min="2" max="2" width="39.109375" style="13" customWidth="1"/>
    <col min="3" max="3" width="18.44140625" style="13" customWidth="1"/>
    <col min="4" max="4" width="22.5546875" style="13" customWidth="1"/>
    <col min="5" max="5" width="23.88671875" style="13" customWidth="1"/>
    <col min="6" max="6" width="19.109375" style="13" customWidth="1"/>
    <col min="7" max="7" width="40.44140625" style="13" customWidth="1"/>
    <col min="8" max="8" width="30.44140625" style="13" customWidth="1"/>
    <col min="9" max="9" width="23.109375" style="13" customWidth="1"/>
    <col min="10" max="10" width="40.88671875" style="13" customWidth="1"/>
    <col min="11" max="16384" width="11.44140625" style="13"/>
  </cols>
  <sheetData>
    <row r="1" spans="1:16" ht="29.25" customHeight="1" thickBot="1" x14ac:dyDescent="0.3">
      <c r="A1" s="1011" t="s">
        <v>398</v>
      </c>
      <c r="B1" s="1012"/>
      <c r="C1" s="1012"/>
      <c r="D1" s="1012"/>
      <c r="E1" s="1012"/>
      <c r="F1" s="1013"/>
      <c r="G1" s="84" t="s">
        <v>373</v>
      </c>
      <c r="H1" s="23"/>
    </row>
    <row r="2" spans="1:16" s="76" customFormat="1" ht="14.25" customHeight="1" thickBot="1" x14ac:dyDescent="0.3">
      <c r="B2" s="78"/>
      <c r="C2" s="78"/>
      <c r="D2" s="78"/>
      <c r="E2" s="78"/>
      <c r="F2" s="78"/>
      <c r="G2" s="79"/>
      <c r="H2" s="80"/>
    </row>
    <row r="3" spans="1:16" ht="27" customHeight="1" thickBot="1" x14ac:dyDescent="0.3">
      <c r="A3" s="1005" t="s">
        <v>17</v>
      </c>
      <c r="B3" s="1006"/>
      <c r="C3" s="1006"/>
      <c r="D3" s="1006"/>
      <c r="E3" s="1006"/>
      <c r="F3" s="1006"/>
      <c r="G3" s="1014"/>
    </row>
    <row r="4" spans="1:16" ht="13.8" thickBot="1" x14ac:dyDescent="0.3">
      <c r="B4" s="14"/>
      <c r="C4" s="15"/>
      <c r="D4" s="15"/>
      <c r="E4" s="15"/>
      <c r="F4" s="15"/>
      <c r="G4" s="15"/>
      <c r="H4" s="17"/>
      <c r="I4" s="17"/>
      <c r="J4" s="17"/>
      <c r="K4" s="17"/>
      <c r="L4" s="17"/>
      <c r="M4" s="17"/>
    </row>
    <row r="5" spans="1:16" s="35" customFormat="1" ht="15.75" customHeight="1" thickBot="1" x14ac:dyDescent="0.3">
      <c r="A5" s="1015" t="s">
        <v>143</v>
      </c>
      <c r="B5" s="1016"/>
      <c r="C5" s="81"/>
      <c r="D5" s="81"/>
      <c r="E5" s="81"/>
      <c r="F5" s="81"/>
      <c r="G5" s="81"/>
      <c r="H5" s="69"/>
      <c r="I5" s="69"/>
      <c r="J5" s="69"/>
      <c r="K5" s="69"/>
      <c r="L5" s="69"/>
      <c r="M5" s="69"/>
      <c r="N5" s="69"/>
    </row>
    <row r="6" spans="1:16" s="35" customFormat="1" ht="20.25" customHeight="1" x14ac:dyDescent="0.25">
      <c r="A6" s="1017" t="s">
        <v>142</v>
      </c>
      <c r="B6" s="1017"/>
      <c r="C6" s="1018"/>
      <c r="D6" s="1018"/>
      <c r="E6" s="1018"/>
      <c r="F6" s="1018"/>
      <c r="G6" s="1018"/>
      <c r="I6" s="37"/>
      <c r="J6" s="37"/>
      <c r="K6" s="37"/>
      <c r="L6" s="37"/>
      <c r="M6" s="37"/>
      <c r="N6" s="37"/>
      <c r="O6" s="1"/>
      <c r="P6" s="1"/>
    </row>
    <row r="7" spans="1:16" ht="13.8" thickBot="1" x14ac:dyDescent="0.3">
      <c r="B7" s="16"/>
      <c r="C7" s="16"/>
      <c r="D7" s="16"/>
      <c r="E7" s="16"/>
      <c r="F7" s="16"/>
      <c r="G7" s="16"/>
      <c r="H7" s="16"/>
    </row>
    <row r="8" spans="1:16" s="52" customFormat="1" ht="67.5" customHeight="1" thickBot="1" x14ac:dyDescent="0.3">
      <c r="A8" s="201" t="s">
        <v>62</v>
      </c>
      <c r="B8" s="202" t="s">
        <v>144</v>
      </c>
      <c r="C8" s="203" t="s">
        <v>418</v>
      </c>
      <c r="D8" s="204" t="s">
        <v>419</v>
      </c>
      <c r="E8" s="205" t="s">
        <v>420</v>
      </c>
      <c r="F8" s="206" t="s">
        <v>421</v>
      </c>
      <c r="G8" s="207" t="s">
        <v>422</v>
      </c>
      <c r="H8" s="82"/>
    </row>
    <row r="9" spans="1:16" s="53" customFormat="1" ht="147" customHeight="1" x14ac:dyDescent="0.3">
      <c r="A9" s="83"/>
      <c r="B9" s="420" t="s">
        <v>637</v>
      </c>
      <c r="C9" s="420" t="s">
        <v>575</v>
      </c>
      <c r="D9" s="421" t="s">
        <v>576</v>
      </c>
      <c r="E9" s="420" t="s">
        <v>577</v>
      </c>
      <c r="F9" s="421" t="s">
        <v>578</v>
      </c>
      <c r="G9" s="422" t="s">
        <v>579</v>
      </c>
    </row>
    <row r="10" spans="1:16" s="53" customFormat="1" ht="207" customHeight="1" x14ac:dyDescent="0.3">
      <c r="A10" s="83"/>
      <c r="B10" s="423" t="s">
        <v>638</v>
      </c>
      <c r="C10" s="420" t="s">
        <v>580</v>
      </c>
      <c r="D10" s="424" t="s">
        <v>581</v>
      </c>
      <c r="E10" s="421" t="s">
        <v>582</v>
      </c>
      <c r="F10" s="421" t="s">
        <v>583</v>
      </c>
      <c r="G10" s="422" t="s">
        <v>584</v>
      </c>
    </row>
    <row r="11" spans="1:16" s="53" customFormat="1" ht="120" customHeight="1" x14ac:dyDescent="0.3">
      <c r="A11" s="83"/>
      <c r="B11" s="425" t="s">
        <v>639</v>
      </c>
      <c r="C11" s="426" t="s">
        <v>585</v>
      </c>
      <c r="D11" s="427" t="s">
        <v>586</v>
      </c>
      <c r="E11" s="428" t="s">
        <v>587</v>
      </c>
      <c r="F11" s="427" t="s">
        <v>588</v>
      </c>
      <c r="G11" s="429" t="s">
        <v>589</v>
      </c>
    </row>
    <row r="12" spans="1:16" s="53" customFormat="1" ht="120" customHeight="1" x14ac:dyDescent="0.3">
      <c r="A12" s="83"/>
      <c r="B12" s="423" t="s">
        <v>590</v>
      </c>
      <c r="C12" s="420"/>
      <c r="D12" s="421" t="s">
        <v>591</v>
      </c>
      <c r="E12" s="420" t="s">
        <v>592</v>
      </c>
      <c r="F12" s="422" t="s">
        <v>593</v>
      </c>
      <c r="G12" s="422" t="s">
        <v>594</v>
      </c>
    </row>
    <row r="13" spans="1:16" s="53" customFormat="1" ht="203.25" customHeight="1" x14ac:dyDescent="0.3">
      <c r="A13" s="83"/>
      <c r="B13" s="423" t="s">
        <v>640</v>
      </c>
      <c r="C13" s="420" t="s">
        <v>595</v>
      </c>
      <c r="D13" s="421" t="s">
        <v>596</v>
      </c>
      <c r="E13" s="420" t="s">
        <v>597</v>
      </c>
      <c r="F13" s="427" t="s">
        <v>598</v>
      </c>
      <c r="G13" s="422" t="s">
        <v>599</v>
      </c>
    </row>
    <row r="14" spans="1:16" s="53" customFormat="1" ht="120" customHeight="1" x14ac:dyDescent="0.3">
      <c r="A14" s="83"/>
      <c r="B14" s="423" t="s">
        <v>641</v>
      </c>
      <c r="C14" s="420" t="s">
        <v>600</v>
      </c>
      <c r="D14" s="421" t="s">
        <v>601</v>
      </c>
      <c r="E14" s="420" t="s">
        <v>602</v>
      </c>
      <c r="F14" s="422" t="s">
        <v>603</v>
      </c>
      <c r="G14" s="422" t="s">
        <v>604</v>
      </c>
    </row>
    <row r="15" spans="1:16" s="53" customFormat="1" ht="162.75" customHeight="1" x14ac:dyDescent="0.3">
      <c r="A15" s="83"/>
      <c r="B15" s="430" t="s">
        <v>605</v>
      </c>
      <c r="C15" s="431" t="s">
        <v>606</v>
      </c>
      <c r="D15" s="432" t="s">
        <v>607</v>
      </c>
      <c r="E15" s="420"/>
      <c r="F15" s="432" t="s">
        <v>608</v>
      </c>
      <c r="G15" s="422" t="s">
        <v>609</v>
      </c>
    </row>
    <row r="16" spans="1:16" s="53" customFormat="1" ht="150.75" customHeight="1" x14ac:dyDescent="0.3">
      <c r="A16" s="83"/>
      <c r="B16" s="433" t="s">
        <v>642</v>
      </c>
      <c r="C16" s="420" t="s">
        <v>610</v>
      </c>
      <c r="D16" s="427" t="s">
        <v>611</v>
      </c>
      <c r="E16" s="422" t="s">
        <v>612</v>
      </c>
      <c r="F16" s="421" t="s">
        <v>613</v>
      </c>
      <c r="G16" s="422" t="s">
        <v>614</v>
      </c>
    </row>
    <row r="17" spans="2:7" ht="120" customHeight="1" x14ac:dyDescent="0.25">
      <c r="B17" s="434" t="s">
        <v>615</v>
      </c>
      <c r="C17" s="434" t="s">
        <v>616</v>
      </c>
      <c r="D17" s="427" t="s">
        <v>617</v>
      </c>
      <c r="E17" s="434" t="s">
        <v>592</v>
      </c>
      <c r="F17" s="427" t="s">
        <v>618</v>
      </c>
      <c r="G17" s="434" t="s">
        <v>619</v>
      </c>
    </row>
    <row r="18" spans="2:7" ht="217.5" customHeight="1" x14ac:dyDescent="0.25">
      <c r="B18" s="435" t="s">
        <v>620</v>
      </c>
      <c r="C18" s="435" t="s">
        <v>621</v>
      </c>
      <c r="D18" s="427" t="s">
        <v>622</v>
      </c>
      <c r="E18" s="435" t="s">
        <v>623</v>
      </c>
      <c r="F18" s="427" t="s">
        <v>624</v>
      </c>
      <c r="G18" s="435" t="s">
        <v>625</v>
      </c>
    </row>
    <row r="19" spans="2:7" ht="120" customHeight="1" x14ac:dyDescent="0.25">
      <c r="B19" s="436" t="s">
        <v>626</v>
      </c>
      <c r="C19" s="431" t="s">
        <v>627</v>
      </c>
      <c r="D19" s="432" t="s">
        <v>628</v>
      </c>
      <c r="E19" s="430" t="s">
        <v>629</v>
      </c>
      <c r="F19" s="421" t="s">
        <v>630</v>
      </c>
      <c r="G19" s="430" t="s">
        <v>631</v>
      </c>
    </row>
    <row r="20" spans="2:7" ht="120" customHeight="1" x14ac:dyDescent="0.25">
      <c r="B20" s="437" t="s">
        <v>632</v>
      </c>
      <c r="C20" s="438" t="s">
        <v>633</v>
      </c>
      <c r="D20" s="437" t="s">
        <v>634</v>
      </c>
      <c r="E20" s="422" t="s">
        <v>612</v>
      </c>
      <c r="F20" s="437" t="s">
        <v>635</v>
      </c>
      <c r="G20" s="437" t="s">
        <v>636</v>
      </c>
    </row>
  </sheetData>
  <mergeCells count="4">
    <mergeCell ref="A1:F1"/>
    <mergeCell ref="A3:G3"/>
    <mergeCell ref="A5:B5"/>
    <mergeCell ref="A6:G6"/>
  </mergeCells>
  <pageMargins left="0.70866141732283472" right="0.70866141732283472" top="0.74803149606299213" bottom="0.74803149606299213" header="0.31496062992125984" footer="0.31496062992125984"/>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sheetPr>
  <dimension ref="A1:X26"/>
  <sheetViews>
    <sheetView view="pageBreakPreview" topLeftCell="A7" zoomScaleNormal="100" zoomScaleSheetLayoutView="100" workbookViewId="0">
      <selection activeCell="X11" sqref="X11"/>
    </sheetView>
  </sheetViews>
  <sheetFormatPr baseColWidth="10" defaultColWidth="11" defaultRowHeight="14.4" x14ac:dyDescent="0.3"/>
  <cols>
    <col min="1" max="1" width="3.5546875" style="158" customWidth="1"/>
    <col min="2" max="2" width="37.33203125" style="158" customWidth="1"/>
    <col min="3" max="3" width="8.109375" style="158" customWidth="1"/>
    <col min="4" max="4" width="5" style="158" customWidth="1"/>
    <col min="5" max="5" width="4.88671875" style="160" customWidth="1"/>
    <col min="6" max="6" width="5.33203125" style="160" customWidth="1"/>
    <col min="7" max="7" width="12.6640625" style="158" customWidth="1"/>
    <col min="8" max="8" width="9.5546875" style="158" customWidth="1"/>
    <col min="9" max="9" width="11.44140625" style="158" customWidth="1"/>
    <col min="10" max="10" width="7.5546875" style="158" bestFit="1" customWidth="1"/>
    <col min="11" max="11" width="15" style="158" customWidth="1"/>
    <col min="12" max="12" width="12.88671875" style="158" customWidth="1"/>
    <col min="13" max="13" width="13.44140625" style="158" customWidth="1"/>
    <col min="14" max="14" width="6.44140625" style="158" customWidth="1"/>
    <col min="15" max="15" width="9.88671875" style="158" customWidth="1"/>
    <col min="16" max="16" width="10.44140625" style="158" customWidth="1"/>
    <col min="17" max="17" width="11.33203125" style="158" customWidth="1"/>
    <col min="18" max="18" width="5" style="158" customWidth="1"/>
    <col min="19" max="19" width="5.6640625" style="158" customWidth="1"/>
    <col min="20" max="20" width="8.33203125" style="159" customWidth="1"/>
    <col min="21" max="21" width="6.109375" style="158" customWidth="1"/>
    <col min="22" max="16384" width="11" style="158"/>
  </cols>
  <sheetData>
    <row r="1" spans="1:24" ht="29.25" customHeight="1" thickBot="1" x14ac:dyDescent="0.35">
      <c r="A1" s="1074" t="s">
        <v>145</v>
      </c>
      <c r="B1" s="1075"/>
      <c r="C1" s="1075"/>
      <c r="D1" s="1075"/>
      <c r="E1" s="1075"/>
      <c r="F1" s="1075"/>
      <c r="G1" s="1075"/>
      <c r="H1" s="1075"/>
      <c r="I1" s="1075"/>
      <c r="J1" s="1075"/>
      <c r="K1" s="1075"/>
      <c r="L1" s="1075"/>
      <c r="M1" s="1075"/>
      <c r="N1" s="1075"/>
      <c r="O1" s="1075"/>
      <c r="P1" s="1075"/>
      <c r="Q1" s="1075"/>
      <c r="R1" s="1076"/>
      <c r="S1" s="1055" t="s">
        <v>375</v>
      </c>
      <c r="T1" s="1056"/>
      <c r="U1" s="1057"/>
    </row>
    <row r="2" spans="1:24" ht="11.25" customHeight="1" thickBot="1" x14ac:dyDescent="0.35">
      <c r="A2" s="1058" t="s">
        <v>934</v>
      </c>
      <c r="B2" s="1059"/>
      <c r="C2" s="1060"/>
      <c r="D2" s="1063"/>
      <c r="E2" s="1063"/>
      <c r="F2" s="1063"/>
      <c r="G2" s="1063"/>
      <c r="H2" s="1063"/>
      <c r="I2" s="1063"/>
      <c r="J2" s="1063"/>
      <c r="K2" s="182"/>
      <c r="L2" s="182"/>
      <c r="M2" s="182"/>
      <c r="N2" s="182"/>
      <c r="O2" s="182"/>
      <c r="P2" s="182"/>
      <c r="Q2" s="182"/>
      <c r="R2" s="182"/>
      <c r="S2" s="182"/>
    </row>
    <row r="3" spans="1:24" ht="35.25" customHeight="1" thickBot="1" x14ac:dyDescent="0.35">
      <c r="A3" s="1061"/>
      <c r="B3" s="1062"/>
      <c r="C3" s="1062"/>
      <c r="D3" s="1064" t="s">
        <v>99</v>
      </c>
      <c r="E3" s="1065"/>
      <c r="F3" s="1065"/>
      <c r="G3" s="1065"/>
      <c r="H3" s="1065"/>
      <c r="I3" s="1065"/>
      <c r="J3" s="1066"/>
      <c r="K3" s="1067" t="s">
        <v>99</v>
      </c>
      <c r="L3" s="1068"/>
      <c r="M3" s="1068"/>
      <c r="N3" s="1069"/>
      <c r="O3" s="1070" t="s">
        <v>99</v>
      </c>
      <c r="P3" s="1071"/>
      <c r="Q3" s="1072"/>
      <c r="R3" s="1072"/>
      <c r="S3" s="1073"/>
      <c r="T3" s="158"/>
    </row>
    <row r="4" spans="1:24" ht="29.25" customHeight="1" thickBot="1" x14ac:dyDescent="0.35">
      <c r="A4" s="1077" t="s">
        <v>201</v>
      </c>
      <c r="B4" s="1078"/>
      <c r="C4" s="1079"/>
      <c r="D4" s="1080" t="s">
        <v>100</v>
      </c>
      <c r="E4" s="1081"/>
      <c r="F4" s="1081"/>
      <c r="G4" s="1081"/>
      <c r="H4" s="1081"/>
      <c r="I4" s="1081"/>
      <c r="J4" s="1082"/>
      <c r="K4" s="1083" t="s">
        <v>61</v>
      </c>
      <c r="L4" s="1084"/>
      <c r="M4" s="1084"/>
      <c r="N4" s="1085"/>
      <c r="O4" s="1086" t="s">
        <v>101</v>
      </c>
      <c r="P4" s="1087"/>
      <c r="Q4" s="1088"/>
      <c r="R4" s="1089"/>
      <c r="S4" s="1090" t="s">
        <v>102</v>
      </c>
      <c r="T4" s="1053" t="s">
        <v>370</v>
      </c>
      <c r="U4" s="1054"/>
      <c r="V4" s="1054"/>
    </row>
    <row r="5" spans="1:24" s="181" customFormat="1" ht="134.25" customHeight="1" thickBot="1" x14ac:dyDescent="0.3">
      <c r="A5" s="669" t="s">
        <v>103</v>
      </c>
      <c r="B5" s="1092" t="s">
        <v>104</v>
      </c>
      <c r="C5" s="1093"/>
      <c r="D5" s="1094" t="s">
        <v>105</v>
      </c>
      <c r="E5" s="1095"/>
      <c r="F5" s="1096" t="s">
        <v>106</v>
      </c>
      <c r="G5" s="1096"/>
      <c r="H5" s="670" t="s">
        <v>107</v>
      </c>
      <c r="I5" s="671" t="s">
        <v>60</v>
      </c>
      <c r="J5" s="672" t="s">
        <v>108</v>
      </c>
      <c r="K5" s="673" t="s">
        <v>109</v>
      </c>
      <c r="L5" s="674" t="s">
        <v>110</v>
      </c>
      <c r="M5" s="673" t="s">
        <v>423</v>
      </c>
      <c r="N5" s="675" t="s">
        <v>111</v>
      </c>
      <c r="O5" s="676" t="s">
        <v>138</v>
      </c>
      <c r="P5" s="676" t="s">
        <v>139</v>
      </c>
      <c r="Q5" s="676" t="s">
        <v>112</v>
      </c>
      <c r="R5" s="677" t="s">
        <v>113</v>
      </c>
      <c r="S5" s="1091"/>
      <c r="T5" s="638" t="s">
        <v>114</v>
      </c>
      <c r="U5" s="636" t="s">
        <v>115</v>
      </c>
    </row>
    <row r="6" spans="1:24" ht="33.9" hidden="1" customHeight="1" thickBot="1" x14ac:dyDescent="0.35">
      <c r="A6" s="668"/>
      <c r="B6" s="1047"/>
      <c r="C6" s="1047"/>
      <c r="D6" s="1048"/>
      <c r="E6" s="1048"/>
      <c r="F6" s="1049"/>
      <c r="G6" s="1049"/>
      <c r="H6" s="660"/>
      <c r="I6" s="661"/>
      <c r="J6" s="662">
        <f>IFERROR(AVERAGE(D6:I6),0)</f>
        <v>0</v>
      </c>
      <c r="K6" s="663"/>
      <c r="L6" s="664"/>
      <c r="M6" s="663"/>
      <c r="N6" s="665">
        <f>IFERROR(AVERAGE(K6:M6),0)</f>
        <v>0</v>
      </c>
      <c r="O6" s="663"/>
      <c r="P6" s="663"/>
      <c r="Q6" s="666"/>
      <c r="R6" s="667">
        <f>IFERROR(AVERAGE(O6:Q6),0)</f>
        <v>0</v>
      </c>
      <c r="S6" s="639">
        <f>(J6*0.6+N6*0.2+R6*0.2)*1.00000000002</f>
        <v>0</v>
      </c>
      <c r="T6" s="640"/>
      <c r="U6" s="641"/>
    </row>
    <row r="7" spans="1:24" ht="33.9" customHeight="1" x14ac:dyDescent="0.3">
      <c r="A7" s="634">
        <v>1</v>
      </c>
      <c r="B7" s="1050" t="s">
        <v>935</v>
      </c>
      <c r="C7" s="1050"/>
      <c r="D7" s="1051">
        <v>10</v>
      </c>
      <c r="E7" s="1051"/>
      <c r="F7" s="1052">
        <v>5</v>
      </c>
      <c r="G7" s="1052"/>
      <c r="H7" s="559">
        <v>10</v>
      </c>
      <c r="I7" s="560">
        <v>10</v>
      </c>
      <c r="J7" s="631">
        <f>IFERROR(AVERAGE(D7:I7),0)</f>
        <v>8.75</v>
      </c>
      <c r="K7" s="561">
        <v>10</v>
      </c>
      <c r="L7" s="562">
        <v>10</v>
      </c>
      <c r="M7" s="561">
        <v>5</v>
      </c>
      <c r="N7" s="632">
        <f>IFERROR(AVERAGE(K7:M7),0)</f>
        <v>8.3333333333333339</v>
      </c>
      <c r="O7" s="561">
        <v>1</v>
      </c>
      <c r="P7" s="561">
        <v>5</v>
      </c>
      <c r="Q7" s="563">
        <v>5</v>
      </c>
      <c r="R7" s="633">
        <f t="shared" ref="R7:R13" si="0">IFERROR(AVERAGE(O7:Q7),0)</f>
        <v>3.6666666666666665</v>
      </c>
      <c r="S7" s="642">
        <f>(J7*0.6+N7*0.2+R7*0.2)*1.00000000002</f>
        <v>7.6500000001530006</v>
      </c>
      <c r="T7" s="637" t="str">
        <f>IF(AND(S7&gt;=1,S7&lt;=4),"Baja Prioridad",IF(AND(S7&gt;4,S7&lt;=6.5),"Mediana Prioridad",IF(AND(S7&gt;6.5,S7&lt;=10.1),"Alta Prioridad")))</f>
        <v>Alta Prioridad</v>
      </c>
      <c r="U7" s="634">
        <f t="shared" ref="U7:U13" si="1">_xlfn.RANK.EQ(S7,$S$6:$S$13)</f>
        <v>1</v>
      </c>
    </row>
    <row r="8" spans="1:24" ht="33.9" customHeight="1" x14ac:dyDescent="0.3">
      <c r="A8" s="634">
        <v>2</v>
      </c>
      <c r="B8" s="1045"/>
      <c r="C8" s="1045"/>
      <c r="D8" s="1046"/>
      <c r="E8" s="1046"/>
      <c r="F8" s="1046"/>
      <c r="G8" s="1046"/>
      <c r="H8" s="635"/>
      <c r="I8" s="635"/>
      <c r="J8" s="631">
        <f t="shared" ref="J8:J13" si="2">IFERROR(AVERAGE(D8:I8),0)</f>
        <v>0</v>
      </c>
      <c r="K8" s="635"/>
      <c r="L8" s="635"/>
      <c r="M8" s="635"/>
      <c r="N8" s="632">
        <f t="shared" ref="N8:N13" si="3">IFERROR(AVERAGE(K8:M8),0)</f>
        <v>0</v>
      </c>
      <c r="O8" s="635"/>
      <c r="P8" s="635"/>
      <c r="Q8" s="635"/>
      <c r="R8" s="633">
        <f t="shared" si="0"/>
        <v>0</v>
      </c>
      <c r="S8" s="642">
        <f>(J8*0.6+N8*0.2+R8*0.2)*1.00000000003</f>
        <v>0</v>
      </c>
      <c r="T8" s="637" t="b">
        <f t="shared" ref="T8" si="4">IF(AND(S8&gt;=1,S8&lt;=4),"Baja Prioridad",IF(AND(S8&gt;4,S8&lt;=6.5),"Mediana Prioridad",IF(AND(S8&gt;6.5,S8&lt;=10.1),"Alta Prioridad")))</f>
        <v>0</v>
      </c>
      <c r="U8" s="634">
        <f t="shared" si="1"/>
        <v>2</v>
      </c>
    </row>
    <row r="9" spans="1:24" ht="33.9" customHeight="1" x14ac:dyDescent="0.3">
      <c r="A9" s="634">
        <v>3</v>
      </c>
      <c r="B9" s="1045"/>
      <c r="C9" s="1045"/>
      <c r="D9" s="1046"/>
      <c r="E9" s="1046"/>
      <c r="F9" s="1046"/>
      <c r="G9" s="1046"/>
      <c r="H9" s="635"/>
      <c r="I9" s="635"/>
      <c r="J9" s="631">
        <f t="shared" si="2"/>
        <v>0</v>
      </c>
      <c r="K9" s="635"/>
      <c r="L9" s="635"/>
      <c r="M9" s="635"/>
      <c r="N9" s="632">
        <f t="shared" si="3"/>
        <v>0</v>
      </c>
      <c r="O9" s="635"/>
      <c r="P9" s="635"/>
      <c r="Q9" s="635"/>
      <c r="R9" s="633">
        <f t="shared" si="0"/>
        <v>0</v>
      </c>
      <c r="S9" s="642">
        <f>(J9*0.6+N9*0.2+R9*0.2)*1.00000000004</f>
        <v>0</v>
      </c>
      <c r="T9" s="637" t="b">
        <f>IF(AND(S9&gt;=1,S9&lt;=4),"Baja Prioridad",IF(AND(S9&gt;4,S9&lt;=6.5),"Mediana Prioridad",IF(AND(S9&gt;6.5,S9&lt;=10.1),"Alta Prioridad")))</f>
        <v>0</v>
      </c>
      <c r="U9" s="634">
        <f t="shared" si="1"/>
        <v>2</v>
      </c>
    </row>
    <row r="10" spans="1:24" ht="33.9" customHeight="1" x14ac:dyDescent="0.3">
      <c r="A10" s="634">
        <v>4</v>
      </c>
      <c r="B10" s="1045"/>
      <c r="C10" s="1045"/>
      <c r="D10" s="1046"/>
      <c r="E10" s="1046"/>
      <c r="F10" s="1046"/>
      <c r="G10" s="1046"/>
      <c r="H10" s="635"/>
      <c r="I10" s="635"/>
      <c r="J10" s="631">
        <f t="shared" si="2"/>
        <v>0</v>
      </c>
      <c r="K10" s="635"/>
      <c r="L10" s="635"/>
      <c r="M10" s="635"/>
      <c r="N10" s="632">
        <f t="shared" si="3"/>
        <v>0</v>
      </c>
      <c r="O10" s="635"/>
      <c r="P10" s="635"/>
      <c r="Q10" s="635"/>
      <c r="R10" s="633">
        <f t="shared" si="0"/>
        <v>0</v>
      </c>
      <c r="S10" s="642">
        <f>(J10*0.6+N10*0.2+R10*0.2)*1.00000000005</f>
        <v>0</v>
      </c>
      <c r="T10" s="637" t="b">
        <f t="shared" ref="T10" si="5">IF(AND(S10&gt;=1,S10&lt;=4),"Baja Prioridad",IF(AND(S10&gt;4,S10&lt;=6.5),"Mediana Prioridad",IF(AND(S10&gt;6.5,S10&lt;=10.1),"Alta Prioridad")))</f>
        <v>0</v>
      </c>
      <c r="U10" s="634">
        <f t="shared" si="1"/>
        <v>2</v>
      </c>
    </row>
    <row r="11" spans="1:24" ht="33.9" customHeight="1" x14ac:dyDescent="0.3">
      <c r="A11" s="634">
        <v>5</v>
      </c>
      <c r="B11" s="1045"/>
      <c r="C11" s="1045"/>
      <c r="D11" s="1046"/>
      <c r="E11" s="1046"/>
      <c r="F11" s="1046"/>
      <c r="G11" s="1046"/>
      <c r="H11" s="635"/>
      <c r="I11" s="635"/>
      <c r="J11" s="631">
        <f t="shared" si="2"/>
        <v>0</v>
      </c>
      <c r="K11" s="635"/>
      <c r="L11" s="635"/>
      <c r="M11" s="635"/>
      <c r="N11" s="632">
        <f t="shared" si="3"/>
        <v>0</v>
      </c>
      <c r="O11" s="635"/>
      <c r="P11" s="635"/>
      <c r="Q11" s="635"/>
      <c r="R11" s="633">
        <f t="shared" si="0"/>
        <v>0</v>
      </c>
      <c r="S11" s="642">
        <f>(J11*0.6+N11*0.2+R11*0.2)*1.00000000006</f>
        <v>0</v>
      </c>
      <c r="T11" s="637" t="b">
        <f>IF(AND(S11&gt;=1,S11&lt;=4),"Baja Prioridad",IF(AND(S11&gt;4,S11&lt;=6.5),"Mediana Prioridad",IF(AND(S11&gt;6.5,S11&lt;=10.1),"Alta Prioridad")))</f>
        <v>0</v>
      </c>
      <c r="U11" s="634">
        <f t="shared" si="1"/>
        <v>2</v>
      </c>
    </row>
    <row r="12" spans="1:24" ht="33.9" customHeight="1" x14ac:dyDescent="0.3">
      <c r="A12" s="634">
        <v>6</v>
      </c>
      <c r="B12" s="1045"/>
      <c r="C12" s="1045"/>
      <c r="D12" s="1046"/>
      <c r="E12" s="1046"/>
      <c r="F12" s="1046"/>
      <c r="G12" s="1046"/>
      <c r="H12" s="635"/>
      <c r="I12" s="635"/>
      <c r="J12" s="631">
        <f t="shared" si="2"/>
        <v>0</v>
      </c>
      <c r="K12" s="635"/>
      <c r="L12" s="635"/>
      <c r="M12" s="635"/>
      <c r="N12" s="632">
        <f t="shared" si="3"/>
        <v>0</v>
      </c>
      <c r="O12" s="635"/>
      <c r="P12" s="635"/>
      <c r="Q12" s="635"/>
      <c r="R12" s="633">
        <f t="shared" si="0"/>
        <v>0</v>
      </c>
      <c r="S12" s="642">
        <f>(J12*0.6+N12*0.2+R12*0.2)*1.00000000007</f>
        <v>0</v>
      </c>
      <c r="T12" s="637" t="b">
        <f>IF(AND(S12&gt;=1,S12&lt;=4),"Baja Prioridad",IF(AND(S12&gt;4,S12&lt;=6.5),"Mediana Prioridad",IF(AND(S12&gt;6.5,S12&lt;=10.1),"Alta Prioridad")))</f>
        <v>0</v>
      </c>
      <c r="U12" s="634">
        <f t="shared" si="1"/>
        <v>2</v>
      </c>
    </row>
    <row r="13" spans="1:24" ht="33.9" customHeight="1" x14ac:dyDescent="0.3">
      <c r="A13" s="634">
        <v>7</v>
      </c>
      <c r="B13" s="1045"/>
      <c r="C13" s="1045"/>
      <c r="D13" s="1046"/>
      <c r="E13" s="1046"/>
      <c r="F13" s="1046"/>
      <c r="G13" s="1046"/>
      <c r="H13" s="635"/>
      <c r="I13" s="635"/>
      <c r="J13" s="631">
        <f t="shared" si="2"/>
        <v>0</v>
      </c>
      <c r="K13" s="635"/>
      <c r="L13" s="635"/>
      <c r="M13" s="635"/>
      <c r="N13" s="632">
        <f t="shared" si="3"/>
        <v>0</v>
      </c>
      <c r="O13" s="635"/>
      <c r="P13" s="635"/>
      <c r="Q13" s="635"/>
      <c r="R13" s="633">
        <f t="shared" si="0"/>
        <v>0</v>
      </c>
      <c r="S13" s="642">
        <f>(J13*0.6+N13*0.2+R13*0.2)*1.00000000008</f>
        <v>0</v>
      </c>
      <c r="T13" s="637" t="b">
        <f t="shared" ref="T13" si="6">IF(AND(S13&gt;=1,S13&lt;=4),"Baja Prioridad",IF(AND(S13&gt;4,S13&lt;=6.5),"Mediana Prioridad",IF(AND(S13&gt;6.5,S13&lt;=10.1),"Alta Prioridad")))</f>
        <v>0</v>
      </c>
      <c r="U13" s="634">
        <f t="shared" si="1"/>
        <v>2</v>
      </c>
    </row>
    <row r="14" spans="1:24" s="166" customFormat="1" ht="12.6" thickBot="1" x14ac:dyDescent="0.3">
      <c r="A14" s="1031" t="s">
        <v>116</v>
      </c>
      <c r="B14" s="1032"/>
      <c r="C14" s="1033"/>
      <c r="D14" s="1034" t="s">
        <v>117</v>
      </c>
      <c r="E14" s="1032"/>
      <c r="F14" s="1032"/>
      <c r="G14" s="1032"/>
      <c r="H14" s="1032"/>
      <c r="I14" s="1032"/>
      <c r="J14" s="1035"/>
      <c r="K14" s="179"/>
      <c r="L14" s="179"/>
      <c r="M14" s="179"/>
      <c r="T14" s="180"/>
      <c r="V14" s="179"/>
      <c r="W14" s="177"/>
      <c r="X14" s="176"/>
    </row>
    <row r="15" spans="1:24" s="166" customFormat="1" ht="20.25" customHeight="1" thickBot="1" x14ac:dyDescent="0.3">
      <c r="A15" s="643" t="s">
        <v>103</v>
      </c>
      <c r="B15" s="647" t="s">
        <v>118</v>
      </c>
      <c r="C15" s="648" t="s">
        <v>119</v>
      </c>
      <c r="D15" s="649" t="s">
        <v>62</v>
      </c>
      <c r="E15" s="1036" t="s">
        <v>118</v>
      </c>
      <c r="F15" s="1036"/>
      <c r="G15" s="1036"/>
      <c r="H15" s="1036"/>
      <c r="I15" s="1036"/>
      <c r="J15" s="650" t="s">
        <v>119</v>
      </c>
      <c r="K15" s="179"/>
      <c r="L15" s="179"/>
      <c r="O15" s="1037" t="s">
        <v>120</v>
      </c>
      <c r="P15" s="1038"/>
      <c r="Q15" s="1039"/>
      <c r="R15" s="1039"/>
      <c r="S15" s="1039"/>
      <c r="T15" s="1039"/>
      <c r="U15" s="1040"/>
      <c r="V15" s="178"/>
      <c r="W15" s="177"/>
      <c r="X15" s="176"/>
    </row>
    <row r="16" spans="1:24" ht="44.1" customHeight="1" thickBot="1" x14ac:dyDescent="0.35">
      <c r="A16" s="644">
        <v>1</v>
      </c>
      <c r="B16" s="651" t="str">
        <f>INDEX($B$6:$B$13,MATCH(A16,$U$6:$U$13,0))</f>
        <v xml:space="preserve">Mujeres indígenas en situaciones de vulnerabilidad  indefension y discriminación. </v>
      </c>
      <c r="C16" s="175">
        <f>INDEX($S$6:$S$13,MATCH(A16,$U$6:$U$13,0))</f>
        <v>7.6500000001530006</v>
      </c>
      <c r="D16" s="174">
        <v>6</v>
      </c>
      <c r="E16" s="1022">
        <f>IFERROR(INDEX($B$6:$B$13,MATCH(D16,$U$6:$U$13,0)),0)</f>
        <v>0</v>
      </c>
      <c r="F16" s="1022"/>
      <c r="G16" s="1022"/>
      <c r="H16" s="1022"/>
      <c r="I16" s="1022"/>
      <c r="J16" s="652">
        <f>IFERROR(INDEX($S$6:$S$13,MATCH(D16,$U$6:$U$13,0)),0)</f>
        <v>0</v>
      </c>
      <c r="K16" s="168"/>
      <c r="L16" s="168"/>
      <c r="O16" s="1041" t="s">
        <v>121</v>
      </c>
      <c r="P16" s="1042"/>
      <c r="Q16" s="1043" t="s">
        <v>122</v>
      </c>
      <c r="R16" s="1043"/>
      <c r="S16" s="1043"/>
      <c r="T16" s="1043"/>
      <c r="U16" s="1044"/>
      <c r="V16" s="162"/>
      <c r="W16" s="161"/>
      <c r="X16" s="171"/>
    </row>
    <row r="17" spans="1:24" ht="44.1" customHeight="1" thickBot="1" x14ac:dyDescent="0.35">
      <c r="A17" s="645">
        <v>2</v>
      </c>
      <c r="B17" s="653">
        <f>INDEX($B$6:$B$13,MATCH(A17,$U$6:$U$13,0))</f>
        <v>0</v>
      </c>
      <c r="C17" s="170">
        <f>IFERROR(INDEX($S$6:$S$13,MATCH(A17,$U$6:$U$13,0)),0)</f>
        <v>0</v>
      </c>
      <c r="D17" s="173">
        <v>7</v>
      </c>
      <c r="E17" s="1022">
        <f t="shared" ref="E17:E18" si="7">IFERROR(INDEX($B$6:$B$13,MATCH(D17,$U$6:$U$13,0)),0)</f>
        <v>0</v>
      </c>
      <c r="F17" s="1022"/>
      <c r="G17" s="1022"/>
      <c r="H17" s="1022"/>
      <c r="I17" s="1022"/>
      <c r="J17" s="652">
        <f t="shared" ref="J17:J18" si="8">IFERROR(INDEX($S$6:$S$13,MATCH(D17,$U$6:$U$13,0)),0)</f>
        <v>0</v>
      </c>
      <c r="K17" s="168"/>
      <c r="L17" s="161"/>
      <c r="O17" s="1023" t="s">
        <v>123</v>
      </c>
      <c r="P17" s="1024"/>
      <c r="Q17" s="1025" t="s">
        <v>124</v>
      </c>
      <c r="R17" s="1025"/>
      <c r="S17" s="1025"/>
      <c r="T17" s="1025"/>
      <c r="U17" s="1026"/>
      <c r="V17" s="162"/>
      <c r="W17" s="161"/>
      <c r="X17" s="171"/>
    </row>
    <row r="18" spans="1:24" ht="44.1" customHeight="1" thickBot="1" x14ac:dyDescent="0.35">
      <c r="A18" s="645">
        <v>3</v>
      </c>
      <c r="B18" s="654">
        <f>IFERROR(INDEX($B$6:$B$13,MATCH(A18,$U$6:$U$13,0)),0)</f>
        <v>0</v>
      </c>
      <c r="C18" s="170">
        <f t="shared" ref="C18:C20" si="9">IFERROR(INDEX($S$6:$S$13,MATCH(A18,$U$6:$U$13,0)),0)</f>
        <v>0</v>
      </c>
      <c r="D18" s="172">
        <v>8</v>
      </c>
      <c r="E18" s="1022">
        <f t="shared" si="7"/>
        <v>0</v>
      </c>
      <c r="F18" s="1022"/>
      <c r="G18" s="1022"/>
      <c r="H18" s="1022"/>
      <c r="I18" s="1022"/>
      <c r="J18" s="652">
        <f t="shared" si="8"/>
        <v>0</v>
      </c>
      <c r="K18" s="168"/>
      <c r="L18" s="168"/>
      <c r="O18" s="1027" t="s">
        <v>125</v>
      </c>
      <c r="P18" s="1028"/>
      <c r="Q18" s="1029" t="s">
        <v>126</v>
      </c>
      <c r="R18" s="1029"/>
      <c r="S18" s="1029"/>
      <c r="T18" s="1029"/>
      <c r="U18" s="1030"/>
      <c r="V18" s="161"/>
      <c r="W18" s="161"/>
      <c r="X18" s="171"/>
    </row>
    <row r="19" spans="1:24" ht="44.1" customHeight="1" x14ac:dyDescent="0.3">
      <c r="A19" s="645">
        <v>4</v>
      </c>
      <c r="B19" s="654">
        <f t="shared" ref="B19:B20" si="10">IFERROR(INDEX($B$6:$B$13,MATCH(A19,$U$6:$U$13,0)),0)</f>
        <v>0</v>
      </c>
      <c r="C19" s="170">
        <f t="shared" si="9"/>
        <v>0</v>
      </c>
      <c r="D19" s="169"/>
      <c r="E19" s="1019"/>
      <c r="F19" s="1019"/>
      <c r="G19" s="1019"/>
      <c r="H19" s="1019"/>
      <c r="I19" s="1019"/>
      <c r="J19" s="655"/>
      <c r="K19" s="168"/>
      <c r="L19" s="168"/>
      <c r="M19" s="161"/>
    </row>
    <row r="20" spans="1:24" ht="44.1" customHeight="1" thickBot="1" x14ac:dyDescent="0.35">
      <c r="A20" s="646">
        <v>5</v>
      </c>
      <c r="B20" s="656">
        <f t="shared" si="10"/>
        <v>0</v>
      </c>
      <c r="C20" s="657">
        <f t="shared" si="9"/>
        <v>0</v>
      </c>
      <c r="D20" s="658"/>
      <c r="E20" s="1020"/>
      <c r="F20" s="1020"/>
      <c r="G20" s="1020"/>
      <c r="H20" s="1020"/>
      <c r="I20" s="1020"/>
      <c r="J20" s="659"/>
      <c r="K20" s="168"/>
      <c r="L20" s="168"/>
      <c r="M20" s="161"/>
      <c r="O20" s="167"/>
      <c r="P20" s="167"/>
      <c r="Q20" s="1021"/>
      <c r="R20" s="1021"/>
      <c r="S20" s="1021"/>
      <c r="T20" s="1021"/>
      <c r="U20" s="1021"/>
    </row>
    <row r="21" spans="1:24" ht="18" customHeight="1" x14ac:dyDescent="0.3">
      <c r="C21" s="166"/>
      <c r="G21" s="165"/>
      <c r="H21" s="165"/>
      <c r="I21" s="165"/>
      <c r="J21" s="165"/>
      <c r="K21" s="161"/>
      <c r="L21" s="161"/>
      <c r="M21" s="161"/>
      <c r="O21" s="163"/>
      <c r="P21" s="163"/>
      <c r="Q21" s="163"/>
      <c r="R21" s="163"/>
      <c r="S21" s="163"/>
      <c r="T21" s="164"/>
      <c r="U21" s="163"/>
    </row>
    <row r="22" spans="1:24" ht="15.75" customHeight="1" x14ac:dyDescent="0.3">
      <c r="J22" s="165"/>
      <c r="K22" s="161"/>
      <c r="O22" s="163"/>
      <c r="P22" s="163"/>
      <c r="Q22" s="163"/>
      <c r="R22" s="163"/>
      <c r="S22" s="163"/>
      <c r="T22" s="164"/>
      <c r="U22" s="163"/>
    </row>
    <row r="23" spans="1:24" ht="26.25" customHeight="1" x14ac:dyDescent="0.3">
      <c r="J23" s="165"/>
      <c r="K23" s="161"/>
      <c r="O23" s="163"/>
      <c r="P23" s="163"/>
      <c r="Q23" s="163"/>
      <c r="R23" s="163"/>
      <c r="S23" s="163"/>
      <c r="T23" s="164"/>
      <c r="U23" s="163"/>
    </row>
    <row r="24" spans="1:24" ht="30" customHeight="1" x14ac:dyDescent="0.3">
      <c r="J24" s="162"/>
      <c r="K24" s="161"/>
      <c r="O24" s="163"/>
      <c r="P24" s="163"/>
      <c r="Q24" s="163"/>
      <c r="R24" s="163"/>
      <c r="S24" s="163"/>
      <c r="T24" s="164"/>
      <c r="U24" s="163"/>
    </row>
    <row r="25" spans="1:24" ht="36.75" customHeight="1" x14ac:dyDescent="0.3">
      <c r="J25" s="162"/>
      <c r="K25" s="161"/>
    </row>
    <row r="26" spans="1:24" x14ac:dyDescent="0.3">
      <c r="G26" s="161"/>
      <c r="H26" s="161"/>
      <c r="I26" s="161"/>
      <c r="J26" s="161"/>
      <c r="K26" s="161"/>
    </row>
  </sheetData>
  <sheetProtection selectLockedCells="1"/>
  <mergeCells count="56">
    <mergeCell ref="T4:V4"/>
    <mergeCell ref="S1:U1"/>
    <mergeCell ref="A2:C3"/>
    <mergeCell ref="D2:J2"/>
    <mergeCell ref="D3:J3"/>
    <mergeCell ref="K3:N3"/>
    <mergeCell ref="O3:S3"/>
    <mergeCell ref="A1:R1"/>
    <mergeCell ref="A4:C4"/>
    <mergeCell ref="D4:J4"/>
    <mergeCell ref="K4:N4"/>
    <mergeCell ref="O4:R4"/>
    <mergeCell ref="S4:S5"/>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A14:C14"/>
    <mergeCell ref="D14:J14"/>
    <mergeCell ref="E15:I15"/>
    <mergeCell ref="O15:U15"/>
    <mergeCell ref="E16:I16"/>
    <mergeCell ref="O16:P16"/>
    <mergeCell ref="Q16:U16"/>
    <mergeCell ref="E19:I19"/>
    <mergeCell ref="E20:I20"/>
    <mergeCell ref="Q20:U20"/>
    <mergeCell ref="E17:I17"/>
    <mergeCell ref="O17:P17"/>
    <mergeCell ref="Q17:U17"/>
    <mergeCell ref="E18:I18"/>
    <mergeCell ref="O18:P18"/>
    <mergeCell ref="Q18:U18"/>
  </mergeCells>
  <conditionalFormatting sqref="T7:T8">
    <cfRule type="cellIs" dxfId="56" priority="46" operator="between">
      <formula>"Baja Prioridad"</formula>
      <formula>"Baja Prioridad"</formula>
    </cfRule>
    <cfRule type="cellIs" dxfId="55" priority="48" operator="between">
      <formula>"Baja Prioridad"</formula>
      <formula>"Baja Prioridad"</formula>
    </cfRule>
    <cfRule type="cellIs" dxfId="54" priority="49" operator="between">
      <formula>"Mediana Prioridad"</formula>
      <formula>"Mediana Prioridad"</formula>
    </cfRule>
    <cfRule type="cellIs" dxfId="53" priority="50" operator="between">
      <formula>"Alta Prioridad"</formula>
      <formula>"Alta Prioridad"</formula>
    </cfRule>
    <cfRule type="cellIs" dxfId="52" priority="51" operator="equal">
      <formula>"""Alta Prioridad"""</formula>
    </cfRule>
    <cfRule type="cellIs" dxfId="51" priority="55" operator="between">
      <formula>1</formula>
      <formula>3</formula>
    </cfRule>
  </conditionalFormatting>
  <conditionalFormatting sqref="S7:S8">
    <cfRule type="cellIs" dxfId="50" priority="45" operator="between">
      <formula>6.51</formula>
      <formula>10.1</formula>
    </cfRule>
    <cfRule type="cellIs" dxfId="49" priority="47" operator="between">
      <formula>1</formula>
      <formula>4</formula>
    </cfRule>
    <cfRule type="cellIs" dxfId="48" priority="52" operator="between">
      <formula>6.501</formula>
      <formula>10</formula>
    </cfRule>
    <cfRule type="cellIs" dxfId="47" priority="53" operator="between">
      <formula>3.01</formula>
      <formula>6.5</formula>
    </cfRule>
    <cfRule type="cellIs" dxfId="46" priority="54" operator="between">
      <formula>1</formula>
      <formula>3</formula>
    </cfRule>
  </conditionalFormatting>
  <conditionalFormatting sqref="T7:T8">
    <cfRule type="cellIs" dxfId="45" priority="56" operator="equal">
      <formula>$S$6</formula>
    </cfRule>
  </conditionalFormatting>
  <conditionalFormatting sqref="T9:T10">
    <cfRule type="cellIs" dxfId="44" priority="33" operator="between">
      <formula>"Baja Prioridad"</formula>
      <formula>"Baja Prioridad"</formula>
    </cfRule>
    <cfRule type="cellIs" dxfId="43" priority="35" operator="between">
      <formula>"Baja Prioridad"</formula>
      <formula>"Baja Prioridad"</formula>
    </cfRule>
    <cfRule type="cellIs" dxfId="42" priority="36" operator="between">
      <formula>"Mediana Prioridad"</formula>
      <formula>"Mediana Prioridad"</formula>
    </cfRule>
    <cfRule type="cellIs" dxfId="41" priority="37" operator="between">
      <formula>"Alta Prioridad"</formula>
      <formula>"Alta Prioridad"</formula>
    </cfRule>
    <cfRule type="cellIs" dxfId="40" priority="38" operator="equal">
      <formula>"""Alta Prioridad"""</formula>
    </cfRule>
    <cfRule type="cellIs" dxfId="39" priority="42" operator="between">
      <formula>1</formula>
      <formula>3</formula>
    </cfRule>
  </conditionalFormatting>
  <conditionalFormatting sqref="S9:S10">
    <cfRule type="cellIs" dxfId="38" priority="32" operator="between">
      <formula>6.51</formula>
      <formula>10.1</formula>
    </cfRule>
    <cfRule type="cellIs" dxfId="37" priority="34" operator="between">
      <formula>1</formula>
      <formula>4</formula>
    </cfRule>
    <cfRule type="cellIs" dxfId="36" priority="39" operator="between">
      <formula>6.501</formula>
      <formula>10</formula>
    </cfRule>
    <cfRule type="cellIs" dxfId="35" priority="40" operator="between">
      <formula>3.01</formula>
      <formula>6.5</formula>
    </cfRule>
    <cfRule type="cellIs" dxfId="34" priority="41" operator="between">
      <formula>1</formula>
      <formula>3</formula>
    </cfRule>
  </conditionalFormatting>
  <conditionalFormatting sqref="T9:T10">
    <cfRule type="cellIs" dxfId="33" priority="43" operator="equal">
      <formula>$S$6</formula>
    </cfRule>
  </conditionalFormatting>
  <conditionalFormatting sqref="T11">
    <cfRule type="cellIs" dxfId="32" priority="20" operator="between">
      <formula>"Baja Prioridad"</formula>
      <formula>"Baja Prioridad"</formula>
    </cfRule>
    <cfRule type="cellIs" dxfId="31" priority="22" operator="between">
      <formula>"Baja Prioridad"</formula>
      <formula>"Baja Prioridad"</formula>
    </cfRule>
    <cfRule type="cellIs" dxfId="30" priority="23" operator="between">
      <formula>"Mediana Prioridad"</formula>
      <formula>"Mediana Prioridad"</formula>
    </cfRule>
    <cfRule type="cellIs" dxfId="29" priority="24" operator="between">
      <formula>"Alta Prioridad"</formula>
      <formula>"Alta Prioridad"</formula>
    </cfRule>
    <cfRule type="cellIs" dxfId="28" priority="25" operator="equal">
      <formula>"""Alta Prioridad"""</formula>
    </cfRule>
    <cfRule type="cellIs" dxfId="27" priority="29" operator="between">
      <formula>1</formula>
      <formula>3</formula>
    </cfRule>
  </conditionalFormatting>
  <conditionalFormatting sqref="S11">
    <cfRule type="cellIs" dxfId="26" priority="19" operator="between">
      <formula>6.51</formula>
      <formula>10.1</formula>
    </cfRule>
    <cfRule type="cellIs" dxfId="25" priority="21" operator="between">
      <formula>1</formula>
      <formula>4</formula>
    </cfRule>
    <cfRule type="cellIs" dxfId="24" priority="26" operator="between">
      <formula>6.501</formula>
      <formula>10</formula>
    </cfRule>
    <cfRule type="cellIs" dxfId="23" priority="27" operator="between">
      <formula>3.01</formula>
      <formula>6.5</formula>
    </cfRule>
    <cfRule type="cellIs" dxfId="22" priority="28" operator="between">
      <formula>1</formula>
      <formula>3</formula>
    </cfRule>
  </conditionalFormatting>
  <conditionalFormatting sqref="T11">
    <cfRule type="cellIs" dxfId="21" priority="30" operator="equal">
      <formula>$S$6</formula>
    </cfRule>
  </conditionalFormatting>
  <conditionalFormatting sqref="T12:T13">
    <cfRule type="cellIs" dxfId="20" priority="7" operator="between">
      <formula>"Baja Prioridad"</formula>
      <formula>"Baja Prioridad"</formula>
    </cfRule>
    <cfRule type="cellIs" dxfId="19" priority="9" operator="between">
      <formula>"Baja Prioridad"</formula>
      <formula>"Baja Prioridad"</formula>
    </cfRule>
    <cfRule type="cellIs" dxfId="18" priority="10" operator="between">
      <formula>"Mediana Prioridad"</formula>
      <formula>"Mediana Prioridad"</formula>
    </cfRule>
    <cfRule type="cellIs" dxfId="17" priority="11" operator="between">
      <formula>"Alta Prioridad"</formula>
      <formula>"Alta Prioridad"</formula>
    </cfRule>
    <cfRule type="cellIs" dxfId="16" priority="12" operator="equal">
      <formula>"""Alta Prioridad"""</formula>
    </cfRule>
    <cfRule type="cellIs" dxfId="15" priority="16" operator="between">
      <formula>1</formula>
      <formula>3</formula>
    </cfRule>
  </conditionalFormatting>
  <conditionalFormatting sqref="S12:S13">
    <cfRule type="cellIs" dxfId="14" priority="6" operator="between">
      <formula>6.51</formula>
      <formula>10.1</formula>
    </cfRule>
    <cfRule type="cellIs" dxfId="13" priority="8" operator="between">
      <formula>1</formula>
      <formula>4</formula>
    </cfRule>
    <cfRule type="cellIs" dxfId="12" priority="13" operator="between">
      <formula>6.501</formula>
      <formula>10</formula>
    </cfRule>
    <cfRule type="cellIs" dxfId="11" priority="14" operator="between">
      <formula>3.01</formula>
      <formula>6.5</formula>
    </cfRule>
    <cfRule type="cellIs" dxfId="10" priority="15" operator="between">
      <formula>1</formula>
      <formula>3</formula>
    </cfRule>
  </conditionalFormatting>
  <conditionalFormatting sqref="T12:T13">
    <cfRule type="cellIs" dxfId="9" priority="17" operator="equal">
      <formula>$S$6</formula>
    </cfRule>
  </conditionalFormatting>
  <conditionalFormatting sqref="S6">
    <cfRule type="cellIs" dxfId="8" priority="1" operator="between">
      <formula>6.51</formula>
      <formula>10.1</formula>
    </cfRule>
    <cfRule type="cellIs" dxfId="7" priority="2" operator="between">
      <formula>1</formula>
      <formula>4</formula>
    </cfRule>
    <cfRule type="cellIs" dxfId="6" priority="3" operator="between">
      <formula>6.501</formula>
      <formula>10</formula>
    </cfRule>
    <cfRule type="cellIs" dxfId="5" priority="4" operator="between">
      <formula>3.01</formula>
      <formula>6.5</formula>
    </cfRule>
    <cfRule type="cellIs" dxfId="4" priority="5" operator="between">
      <formula>1</formula>
      <formula>3</formula>
    </cfRule>
  </conditionalFormatting>
  <hyperlinks>
    <hyperlink ref="T4:V4" location="'Anexo-3 CRITERIOSPONDERACIÓN'!Área_de_impresión" display="Ir a SPP-Anexo 4 Información de apoyo"/>
  </hyperlinks>
  <printOptions horizontalCentered="1"/>
  <pageMargins left="0.15748031496062992" right="0.15748031496062992" top="1.1811023622047245" bottom="0.19685039370078741" header="0.31496062992125984" footer="0.19685039370078741"/>
  <pageSetup scale="6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57" operator="containsText" id="{B58B8C6A-89B7-48FB-B099-1C48ECCAA80F}">
            <xm:f>NOT(ISERROR(SEARCH($S$6,T7)))</xm:f>
            <xm:f>$S$6</xm:f>
            <x14:dxf>
              <font>
                <color rgb="FF9C0006"/>
              </font>
              <fill>
                <patternFill>
                  <bgColor rgb="FFFFC7CE"/>
                </patternFill>
              </fill>
            </x14:dxf>
          </x14:cfRule>
          <xm:sqref>T7:T8</xm:sqref>
        </x14:conditionalFormatting>
        <x14:conditionalFormatting xmlns:xm="http://schemas.microsoft.com/office/excel/2006/main">
          <x14:cfRule type="containsText" priority="44" operator="containsText" id="{FAFC919F-7151-46F3-A28D-F28C08D2F899}">
            <xm:f>NOT(ISERROR(SEARCH($S$6,T9)))</xm:f>
            <xm:f>$S$6</xm:f>
            <x14:dxf>
              <font>
                <color rgb="FF9C0006"/>
              </font>
              <fill>
                <patternFill>
                  <bgColor rgb="FFFFC7CE"/>
                </patternFill>
              </fill>
            </x14:dxf>
          </x14:cfRule>
          <xm:sqref>T9:T10</xm:sqref>
        </x14:conditionalFormatting>
        <x14:conditionalFormatting xmlns:xm="http://schemas.microsoft.com/office/excel/2006/main">
          <x14:cfRule type="containsText" priority="31" operator="containsText" id="{36DBA2ED-B065-4664-9651-53984882110C}">
            <xm:f>NOT(ISERROR(SEARCH($S$6,T11)))</xm:f>
            <xm:f>$S$6</xm:f>
            <x14:dxf>
              <font>
                <color rgb="FF9C0006"/>
              </font>
              <fill>
                <patternFill>
                  <bgColor rgb="FFFFC7CE"/>
                </patternFill>
              </fill>
            </x14:dxf>
          </x14:cfRule>
          <xm:sqref>T11</xm:sqref>
        </x14:conditionalFormatting>
        <x14:conditionalFormatting xmlns:xm="http://schemas.microsoft.com/office/excel/2006/main">
          <x14:cfRule type="containsText" priority="18" operator="containsText" id="{FA1609F2-BF97-4F49-9479-E71746DCB6B6}">
            <xm:f>NOT(ISERROR(SEARCH($S$6,T12)))</xm:f>
            <xm:f>$S$6</xm:f>
            <x14:dxf>
              <font>
                <color rgb="FF9C0006"/>
              </font>
              <fill>
                <patternFill>
                  <bgColor rgb="FFFFC7CE"/>
                </patternFill>
              </fill>
            </x14:dxf>
          </x14:cfRule>
          <xm:sqref>T12:T13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sheetPr>
  <dimension ref="A1:P26"/>
  <sheetViews>
    <sheetView topLeftCell="A6" zoomScale="75" zoomScaleNormal="75" workbookViewId="0">
      <selection activeCell="J12" sqref="J12:J22"/>
    </sheetView>
  </sheetViews>
  <sheetFormatPr baseColWidth="10" defaultColWidth="11.44140625" defaultRowHeight="14.4" x14ac:dyDescent="0.3"/>
  <cols>
    <col min="1" max="1" width="23" style="183" customWidth="1"/>
    <col min="2" max="4" width="23.6640625" style="183" customWidth="1"/>
    <col min="5" max="7" width="16.5546875" style="183" customWidth="1"/>
    <col min="8" max="10" width="11.44140625" style="183"/>
    <col min="11" max="11" width="18.44140625" style="183" customWidth="1"/>
    <col min="12" max="12" width="11.44140625" style="183"/>
    <col min="13" max="13" width="17.5546875" style="183" customWidth="1"/>
    <col min="14" max="14" width="16.88671875" style="183" customWidth="1"/>
    <col min="15" max="16384" width="11.44140625" style="183"/>
  </cols>
  <sheetData>
    <row r="1" spans="1:16" s="11" customFormat="1" ht="33.75" customHeight="1" x14ac:dyDescent="0.3">
      <c r="A1" s="1110" t="s">
        <v>323</v>
      </c>
      <c r="B1" s="1111"/>
      <c r="C1" s="1111"/>
      <c r="D1" s="1111"/>
      <c r="E1" s="1111"/>
      <c r="F1" s="1111"/>
      <c r="G1" s="1111"/>
      <c r="H1" s="1111"/>
      <c r="I1" s="1111"/>
      <c r="J1" s="1111"/>
      <c r="K1" s="1111"/>
      <c r="L1" s="1111"/>
      <c r="M1" s="1111"/>
      <c r="N1" s="254" t="s">
        <v>376</v>
      </c>
    </row>
    <row r="2" spans="1:16" s="11" customFormat="1" ht="33.75" customHeight="1" x14ac:dyDescent="0.3">
      <c r="A2" s="85"/>
      <c r="B2" s="85"/>
      <c r="C2" s="85"/>
      <c r="D2" s="85"/>
      <c r="E2" s="85"/>
      <c r="F2" s="85"/>
      <c r="G2" s="85"/>
      <c r="H2" s="12"/>
      <c r="L2" s="196"/>
      <c r="M2" s="85"/>
      <c r="N2" s="85"/>
    </row>
    <row r="3" spans="1:16" ht="15" thickBot="1" x14ac:dyDescent="0.35">
      <c r="J3" s="35"/>
      <c r="K3" s="35"/>
      <c r="L3" s="35"/>
      <c r="M3" s="35"/>
      <c r="N3" s="35"/>
      <c r="O3" s="35"/>
    </row>
    <row r="4" spans="1:16" ht="21" x14ac:dyDescent="0.3">
      <c r="A4" s="1112" t="s">
        <v>426</v>
      </c>
      <c r="B4" s="1113"/>
      <c r="C4" s="1113"/>
      <c r="D4" s="1113"/>
      <c r="E4" s="1113"/>
      <c r="F4" s="1113"/>
      <c r="G4" s="1113"/>
      <c r="H4" s="1113"/>
      <c r="I4" s="1113"/>
      <c r="J4" s="1113"/>
      <c r="K4" s="1113"/>
      <c r="L4" s="1113"/>
      <c r="M4" s="1113"/>
      <c r="N4" s="1113"/>
    </row>
    <row r="5" spans="1:16" ht="18.75" customHeight="1" x14ac:dyDescent="0.3">
      <c r="A5" s="1114"/>
      <c r="B5" s="1115"/>
      <c r="C5" s="1115"/>
      <c r="D5" s="1115"/>
      <c r="E5" s="1115"/>
      <c r="F5" s="1115"/>
      <c r="G5" s="1115"/>
      <c r="H5" s="1115"/>
      <c r="I5" s="1115"/>
      <c r="J5" s="1115"/>
      <c r="K5" s="1115"/>
      <c r="L5" s="1115"/>
      <c r="M5" s="1115"/>
      <c r="N5" s="1115"/>
    </row>
    <row r="6" spans="1:16" ht="19.5" customHeight="1" x14ac:dyDescent="0.3">
      <c r="A6" s="1114"/>
      <c r="B6" s="1115"/>
      <c r="C6" s="1115"/>
      <c r="D6" s="1115"/>
      <c r="E6" s="1115"/>
      <c r="F6" s="1115"/>
      <c r="G6" s="1115"/>
      <c r="H6" s="1115"/>
      <c r="I6" s="1115"/>
      <c r="J6" s="1115"/>
      <c r="K6" s="1115"/>
      <c r="L6" s="1115"/>
      <c r="M6" s="1115"/>
      <c r="N6" s="1115"/>
    </row>
    <row r="7" spans="1:16" ht="15" thickBot="1" x14ac:dyDescent="0.35">
      <c r="A7" s="1116"/>
      <c r="B7" s="1117"/>
      <c r="C7" s="233"/>
      <c r="D7" s="233"/>
      <c r="E7" s="233"/>
      <c r="F7" s="233"/>
      <c r="G7" s="233"/>
      <c r="H7" s="233"/>
      <c r="I7" s="208"/>
      <c r="J7" s="233"/>
      <c r="K7" s="233"/>
      <c r="L7" s="233"/>
      <c r="M7" s="233"/>
      <c r="N7" s="233"/>
    </row>
    <row r="8" spans="1:16" ht="36" customHeight="1" x14ac:dyDescent="0.3">
      <c r="A8" s="1118" t="s">
        <v>346</v>
      </c>
      <c r="B8" s="1118" t="s">
        <v>403</v>
      </c>
      <c r="C8" s="1121" t="s">
        <v>405</v>
      </c>
      <c r="D8" s="1121" t="s">
        <v>406</v>
      </c>
      <c r="E8" s="1121" t="s">
        <v>407</v>
      </c>
      <c r="F8" s="1124" t="s">
        <v>408</v>
      </c>
      <c r="G8" s="1125"/>
      <c r="H8" s="1128" t="s">
        <v>347</v>
      </c>
      <c r="I8" s="1131" t="s">
        <v>92</v>
      </c>
      <c r="J8" s="1132"/>
      <c r="K8" s="1133" t="s">
        <v>202</v>
      </c>
      <c r="L8" s="1134"/>
      <c r="M8" s="1121" t="s">
        <v>351</v>
      </c>
      <c r="N8" s="1121" t="s">
        <v>427</v>
      </c>
    </row>
    <row r="9" spans="1:16" ht="81" customHeight="1" x14ac:dyDescent="0.3">
      <c r="A9" s="1119"/>
      <c r="B9" s="1119"/>
      <c r="C9" s="1122"/>
      <c r="D9" s="1122"/>
      <c r="E9" s="1122"/>
      <c r="F9" s="1126"/>
      <c r="G9" s="1127"/>
      <c r="H9" s="1129"/>
      <c r="I9" s="1135" t="s">
        <v>203</v>
      </c>
      <c r="J9" s="1137" t="s">
        <v>204</v>
      </c>
      <c r="K9" s="1139" t="s">
        <v>33</v>
      </c>
      <c r="L9" s="1142" t="s">
        <v>141</v>
      </c>
      <c r="M9" s="1122"/>
      <c r="N9" s="1122"/>
    </row>
    <row r="10" spans="1:16" ht="63.75" customHeight="1" x14ac:dyDescent="0.3">
      <c r="A10" s="1119"/>
      <c r="B10" s="1119"/>
      <c r="C10" s="1122"/>
      <c r="D10" s="1122"/>
      <c r="E10" s="1122"/>
      <c r="F10" s="1126"/>
      <c r="G10" s="1127"/>
      <c r="H10" s="1129"/>
      <c r="I10" s="1135"/>
      <c r="J10" s="1137"/>
      <c r="K10" s="1140"/>
      <c r="L10" s="1143"/>
      <c r="M10" s="1122"/>
      <c r="N10" s="1122"/>
    </row>
    <row r="11" spans="1:16" ht="103.5" customHeight="1" thickBot="1" x14ac:dyDescent="0.35">
      <c r="A11" s="1120"/>
      <c r="B11" s="1120"/>
      <c r="C11" s="1123"/>
      <c r="D11" s="1123"/>
      <c r="E11" s="1123"/>
      <c r="F11" s="234" t="s">
        <v>90</v>
      </c>
      <c r="G11" s="235" t="s">
        <v>91</v>
      </c>
      <c r="H11" s="1130"/>
      <c r="I11" s="1136"/>
      <c r="J11" s="1138"/>
      <c r="K11" s="1141"/>
      <c r="L11" s="1144"/>
      <c r="M11" s="1123"/>
      <c r="N11" s="1123"/>
    </row>
    <row r="12" spans="1:16" ht="143.25" customHeight="1" x14ac:dyDescent="0.3">
      <c r="A12" s="1097" t="s">
        <v>644</v>
      </c>
      <c r="B12" s="439" t="s">
        <v>871</v>
      </c>
      <c r="C12" s="1097" t="s">
        <v>873</v>
      </c>
      <c r="D12" s="1097" t="s">
        <v>874</v>
      </c>
      <c r="E12" s="1097" t="s">
        <v>875</v>
      </c>
      <c r="F12" s="1100"/>
      <c r="G12" s="1097"/>
      <c r="H12" s="1103">
        <v>29403</v>
      </c>
      <c r="I12" s="1100" t="s">
        <v>643</v>
      </c>
      <c r="J12" s="1100" t="s">
        <v>643</v>
      </c>
      <c r="K12" s="1097" t="s">
        <v>876</v>
      </c>
      <c r="L12" s="1097" t="s">
        <v>877</v>
      </c>
      <c r="M12" s="440"/>
      <c r="N12" s="1107"/>
      <c r="O12" s="183" t="s">
        <v>206</v>
      </c>
      <c r="P12" s="183" t="s">
        <v>206</v>
      </c>
    </row>
    <row r="13" spans="1:16" ht="51.75" customHeight="1" x14ac:dyDescent="0.3">
      <c r="A13" s="1098"/>
      <c r="B13" s="442"/>
      <c r="C13" s="1098"/>
      <c r="D13" s="1098"/>
      <c r="E13" s="1098"/>
      <c r="F13" s="1101"/>
      <c r="G13" s="1098"/>
      <c r="H13" s="1101"/>
      <c r="I13" s="1101"/>
      <c r="J13" s="1101"/>
      <c r="K13" s="1098"/>
      <c r="L13" s="1098"/>
      <c r="M13" s="441"/>
      <c r="N13" s="1108"/>
    </row>
    <row r="14" spans="1:16" ht="21" customHeight="1" x14ac:dyDescent="0.3">
      <c r="A14" s="1098"/>
      <c r="B14" s="1104" t="s">
        <v>872</v>
      </c>
      <c r="C14" s="1098"/>
      <c r="D14" s="1098"/>
      <c r="E14" s="1098"/>
      <c r="F14" s="1101"/>
      <c r="G14" s="1098"/>
      <c r="H14" s="1101"/>
      <c r="I14" s="1101"/>
      <c r="J14" s="1101"/>
      <c r="K14" s="1098"/>
      <c r="L14" s="1098"/>
      <c r="M14" s="441"/>
      <c r="N14" s="1108"/>
    </row>
    <row r="15" spans="1:16" ht="66.75" customHeight="1" x14ac:dyDescent="0.3">
      <c r="A15" s="1098"/>
      <c r="B15" s="1105"/>
      <c r="C15" s="1098"/>
      <c r="D15" s="1098"/>
      <c r="E15" s="1098"/>
      <c r="F15" s="1101"/>
      <c r="G15" s="1098"/>
      <c r="H15" s="1101"/>
      <c r="I15" s="1101"/>
      <c r="J15" s="1101"/>
      <c r="K15" s="1098"/>
      <c r="L15" s="1098"/>
      <c r="M15" s="443"/>
      <c r="N15" s="1109"/>
    </row>
    <row r="16" spans="1:16" ht="21" x14ac:dyDescent="0.3">
      <c r="A16" s="1098"/>
      <c r="B16" s="1105"/>
      <c r="C16" s="1098"/>
      <c r="D16" s="1098"/>
      <c r="E16" s="1098"/>
      <c r="F16" s="1101"/>
      <c r="G16" s="1098"/>
      <c r="H16" s="1101"/>
      <c r="I16" s="1101"/>
      <c r="J16" s="1101"/>
      <c r="K16" s="1098"/>
      <c r="L16" s="1098"/>
      <c r="M16" s="184"/>
      <c r="N16" s="184"/>
    </row>
    <row r="17" spans="1:14" ht="21" x14ac:dyDescent="0.3">
      <c r="A17" s="1098"/>
      <c r="B17" s="1105"/>
      <c r="C17" s="1098"/>
      <c r="D17" s="1098"/>
      <c r="E17" s="1098"/>
      <c r="F17" s="1101"/>
      <c r="G17" s="1098"/>
      <c r="H17" s="1101"/>
      <c r="I17" s="1101"/>
      <c r="J17" s="1101"/>
      <c r="K17" s="1098"/>
      <c r="L17" s="1098"/>
      <c r="M17" s="184"/>
      <c r="N17" s="184"/>
    </row>
    <row r="18" spans="1:14" ht="21" x14ac:dyDescent="0.3">
      <c r="A18" s="1098"/>
      <c r="B18" s="1105"/>
      <c r="C18" s="1098"/>
      <c r="D18" s="1098"/>
      <c r="E18" s="1098"/>
      <c r="F18" s="1101"/>
      <c r="G18" s="1098"/>
      <c r="H18" s="1101"/>
      <c r="I18" s="1101"/>
      <c r="J18" s="1101"/>
      <c r="K18" s="1098"/>
      <c r="L18" s="1098"/>
      <c r="M18" s="184"/>
      <c r="N18" s="184"/>
    </row>
    <row r="19" spans="1:14" ht="21" x14ac:dyDescent="0.3">
      <c r="A19" s="1098"/>
      <c r="B19" s="1105"/>
      <c r="C19" s="1098"/>
      <c r="D19" s="1098"/>
      <c r="E19" s="1098"/>
      <c r="F19" s="1101"/>
      <c r="G19" s="1098"/>
      <c r="H19" s="1101"/>
      <c r="I19" s="1101"/>
      <c r="J19" s="1101"/>
      <c r="K19" s="1098"/>
      <c r="L19" s="1098"/>
      <c r="M19" s="184"/>
      <c r="N19" s="184"/>
    </row>
    <row r="20" spans="1:14" ht="21" x14ac:dyDescent="0.3">
      <c r="A20" s="1098"/>
      <c r="B20" s="1105"/>
      <c r="C20" s="1098"/>
      <c r="D20" s="1098"/>
      <c r="E20" s="1098"/>
      <c r="F20" s="1101"/>
      <c r="G20" s="1098"/>
      <c r="H20" s="1101"/>
      <c r="I20" s="1101"/>
      <c r="J20" s="1101"/>
      <c r="K20" s="1098"/>
      <c r="L20" s="1098"/>
      <c r="M20" s="184"/>
      <c r="N20" s="184"/>
    </row>
    <row r="21" spans="1:14" ht="21" x14ac:dyDescent="0.3">
      <c r="A21" s="1098"/>
      <c r="B21" s="1105"/>
      <c r="C21" s="1098"/>
      <c r="D21" s="1098"/>
      <c r="E21" s="1098"/>
      <c r="F21" s="1101"/>
      <c r="G21" s="1098"/>
      <c r="H21" s="1101"/>
      <c r="I21" s="1101"/>
      <c r="J21" s="1101"/>
      <c r="K21" s="1098"/>
      <c r="L21" s="1098"/>
      <c r="M21" s="184"/>
      <c r="N21" s="184"/>
    </row>
    <row r="22" spans="1:14" ht="282.75" customHeight="1" x14ac:dyDescent="0.3">
      <c r="A22" s="1099"/>
      <c r="B22" s="1106"/>
      <c r="C22" s="1099"/>
      <c r="D22" s="1099"/>
      <c r="E22" s="1099"/>
      <c r="F22" s="1102"/>
      <c r="G22" s="1099"/>
      <c r="H22" s="1102"/>
      <c r="I22" s="1102"/>
      <c r="J22" s="1102"/>
      <c r="K22" s="1099"/>
      <c r="L22" s="1099"/>
      <c r="M22" s="184"/>
      <c r="N22" s="184"/>
    </row>
    <row r="23" spans="1:14" x14ac:dyDescent="0.3">
      <c r="C23" s="416"/>
    </row>
    <row r="24" spans="1:14" x14ac:dyDescent="0.3">
      <c r="A24" s="255" t="s">
        <v>404</v>
      </c>
    </row>
    <row r="25" spans="1:14" x14ac:dyDescent="0.3">
      <c r="A25" s="263" t="s">
        <v>424</v>
      </c>
    </row>
    <row r="26" spans="1:14" x14ac:dyDescent="0.3">
      <c r="A26" s="263" t="s">
        <v>425</v>
      </c>
    </row>
  </sheetData>
  <sheetProtection formatCells="0" selectLockedCells="1" selectUnlockedCells="1"/>
  <mergeCells count="32">
    <mergeCell ref="K8:L8"/>
    <mergeCell ref="M8:M11"/>
    <mergeCell ref="N8:N11"/>
    <mergeCell ref="I9:I11"/>
    <mergeCell ref="J9:J11"/>
    <mergeCell ref="K9:K11"/>
    <mergeCell ref="L9:L11"/>
    <mergeCell ref="N12:N15"/>
    <mergeCell ref="J12:J22"/>
    <mergeCell ref="K12:K22"/>
    <mergeCell ref="L12:L22"/>
    <mergeCell ref="A1:M1"/>
    <mergeCell ref="A4:N4"/>
    <mergeCell ref="A5:N6"/>
    <mergeCell ref="A7:B7"/>
    <mergeCell ref="A8:A11"/>
    <mergeCell ref="B8:B11"/>
    <mergeCell ref="C8:C11"/>
    <mergeCell ref="D8:D11"/>
    <mergeCell ref="E8:E11"/>
    <mergeCell ref="F8:G10"/>
    <mergeCell ref="H8:H11"/>
    <mergeCell ref="I8:J8"/>
    <mergeCell ref="A12:A22"/>
    <mergeCell ref="F12:F22"/>
    <mergeCell ref="G12:G22"/>
    <mergeCell ref="H12:H22"/>
    <mergeCell ref="I12:I22"/>
    <mergeCell ref="E12:E22"/>
    <mergeCell ref="D12:D22"/>
    <mergeCell ref="C12:C22"/>
    <mergeCell ref="B14:B2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 a seleccionar'!#REF!</xm:f>
          </x14:formula1>
          <xm:sqref>M12:N12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28"/>
  <sheetViews>
    <sheetView workbookViewId="0">
      <selection activeCell="O22" sqref="O22"/>
    </sheetView>
  </sheetViews>
  <sheetFormatPr baseColWidth="10" defaultColWidth="11.44140625" defaultRowHeight="14.4" x14ac:dyDescent="0.3"/>
  <cols>
    <col min="1" max="1" width="11.44140625" style="183"/>
    <col min="2" max="2" width="24.109375" style="183" bestFit="1" customWidth="1"/>
    <col min="3" max="16384" width="11.44140625" style="183"/>
  </cols>
  <sheetData>
    <row r="1" spans="1:5" x14ac:dyDescent="0.3">
      <c r="A1" s="183" t="s">
        <v>233</v>
      </c>
      <c r="B1" s="183" t="s">
        <v>232</v>
      </c>
    </row>
    <row r="2" spans="1:5" ht="23.4" x14ac:dyDescent="0.45">
      <c r="A2" s="185" t="s">
        <v>205</v>
      </c>
      <c r="B2" s="186" t="s">
        <v>231</v>
      </c>
    </row>
    <row r="3" spans="1:5" ht="23.4" x14ac:dyDescent="0.45">
      <c r="A3" s="185" t="s">
        <v>230</v>
      </c>
      <c r="B3" s="186" t="s">
        <v>229</v>
      </c>
      <c r="E3" s="187"/>
    </row>
    <row r="4" spans="1:5" ht="23.4" x14ac:dyDescent="0.45">
      <c r="A4" s="185" t="s">
        <v>228</v>
      </c>
      <c r="B4" s="186" t="s">
        <v>227</v>
      </c>
    </row>
    <row r="5" spans="1:5" ht="23.4" x14ac:dyDescent="0.45">
      <c r="A5" s="185" t="s">
        <v>146</v>
      </c>
      <c r="B5" s="186" t="s">
        <v>226</v>
      </c>
    </row>
    <row r="6" spans="1:5" ht="23.4" x14ac:dyDescent="0.45">
      <c r="A6" s="185"/>
      <c r="B6" s="186" t="s">
        <v>225</v>
      </c>
    </row>
    <row r="7" spans="1:5" ht="23.4" x14ac:dyDescent="0.45">
      <c r="A7" s="185"/>
      <c r="B7" s="186" t="s">
        <v>224</v>
      </c>
    </row>
    <row r="8" spans="1:5" ht="23.4" x14ac:dyDescent="0.45">
      <c r="A8" s="185"/>
      <c r="B8" s="186" t="s">
        <v>223</v>
      </c>
    </row>
    <row r="9" spans="1:5" ht="23.4" x14ac:dyDescent="0.45">
      <c r="A9" s="185"/>
      <c r="B9" s="186" t="s">
        <v>205</v>
      </c>
    </row>
    <row r="10" spans="1:5" ht="23.4" x14ac:dyDescent="0.45">
      <c r="A10" s="185"/>
      <c r="B10" s="186" t="s">
        <v>222</v>
      </c>
    </row>
    <row r="11" spans="1:5" ht="23.4" x14ac:dyDescent="0.45">
      <c r="A11" s="185"/>
      <c r="B11" s="186" t="s">
        <v>221</v>
      </c>
    </row>
    <row r="12" spans="1:5" ht="23.4" x14ac:dyDescent="0.45">
      <c r="A12" s="185"/>
      <c r="B12" s="186" t="s">
        <v>220</v>
      </c>
    </row>
    <row r="13" spans="1:5" ht="23.4" x14ac:dyDescent="0.45">
      <c r="A13" s="185"/>
      <c r="B13" s="186" t="s">
        <v>219</v>
      </c>
    </row>
    <row r="14" spans="1:5" ht="23.4" x14ac:dyDescent="0.45">
      <c r="A14" s="185"/>
      <c r="B14" s="186" t="s">
        <v>218</v>
      </c>
    </row>
    <row r="15" spans="1:5" ht="23.4" x14ac:dyDescent="0.45">
      <c r="A15" s="185"/>
      <c r="B15" s="186" t="s">
        <v>217</v>
      </c>
    </row>
    <row r="16" spans="1:5" ht="23.4" x14ac:dyDescent="0.45">
      <c r="A16" s="185"/>
      <c r="B16" s="186" t="s">
        <v>216</v>
      </c>
    </row>
    <row r="17" spans="1:2" ht="23.4" x14ac:dyDescent="0.45">
      <c r="A17" s="185"/>
      <c r="B17" s="186" t="s">
        <v>215</v>
      </c>
    </row>
    <row r="18" spans="1:2" ht="23.4" x14ac:dyDescent="0.45">
      <c r="A18" s="185"/>
      <c r="B18" s="186" t="s">
        <v>214</v>
      </c>
    </row>
    <row r="19" spans="1:2" ht="23.4" x14ac:dyDescent="0.45">
      <c r="A19" s="185"/>
      <c r="B19" s="186" t="s">
        <v>213</v>
      </c>
    </row>
    <row r="20" spans="1:2" ht="23.4" x14ac:dyDescent="0.45">
      <c r="A20" s="185"/>
      <c r="B20" s="186" t="s">
        <v>212</v>
      </c>
    </row>
    <row r="21" spans="1:2" ht="23.4" x14ac:dyDescent="0.45">
      <c r="A21" s="185"/>
      <c r="B21" s="186" t="s">
        <v>211</v>
      </c>
    </row>
    <row r="22" spans="1:2" ht="23.4" x14ac:dyDescent="0.45">
      <c r="A22" s="185"/>
      <c r="B22" s="186" t="s">
        <v>210</v>
      </c>
    </row>
    <row r="23" spans="1:2" ht="23.4" x14ac:dyDescent="0.45">
      <c r="A23" s="185"/>
      <c r="B23" s="186" t="s">
        <v>209</v>
      </c>
    </row>
    <row r="24" spans="1:2" ht="23.4" x14ac:dyDescent="0.45">
      <c r="A24" s="185"/>
      <c r="B24" s="186" t="s">
        <v>208</v>
      </c>
    </row>
    <row r="25" spans="1:2" ht="23.4" x14ac:dyDescent="0.45">
      <c r="A25" s="185"/>
      <c r="B25" s="186" t="s">
        <v>207</v>
      </c>
    </row>
    <row r="26" spans="1:2" ht="23.4" x14ac:dyDescent="0.45">
      <c r="A26" s="185"/>
      <c r="B26" s="186" t="s">
        <v>146</v>
      </c>
    </row>
    <row r="27" spans="1:2" ht="23.4" x14ac:dyDescent="0.45">
      <c r="A27" s="185"/>
      <c r="B27" s="185"/>
    </row>
    <row r="28" spans="1:2" ht="23.4" x14ac:dyDescent="0.45">
      <c r="A28" s="185"/>
      <c r="B28" s="18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4"/>
    <pageSetUpPr fitToPage="1"/>
  </sheetPr>
  <dimension ref="A1:S35"/>
  <sheetViews>
    <sheetView view="pageBreakPreview" zoomScale="75" zoomScaleNormal="100" zoomScaleSheetLayoutView="75" workbookViewId="0">
      <selection activeCell="G5" sqref="G5"/>
    </sheetView>
  </sheetViews>
  <sheetFormatPr baseColWidth="10" defaultColWidth="11.44140625" defaultRowHeight="13.2" x14ac:dyDescent="0.25"/>
  <cols>
    <col min="1" max="1" width="6.33203125" style="29" customWidth="1"/>
    <col min="2" max="2" width="41.5546875" style="35" customWidth="1"/>
    <col min="3" max="3" width="4.5546875" style="35" customWidth="1"/>
    <col min="4" max="5" width="6.6640625" style="35" bestFit="1" customWidth="1"/>
    <col min="6" max="6" width="3.88671875" style="35" bestFit="1" customWidth="1"/>
    <col min="7" max="7" width="22.6640625" style="29" customWidth="1"/>
    <col min="8" max="8" width="30.33203125" style="35" customWidth="1"/>
    <col min="9" max="9" width="3.5546875" style="35" customWidth="1"/>
    <col min="10" max="10" width="4.88671875" style="35" customWidth="1"/>
    <col min="11" max="12" width="4.5546875" style="35" customWidth="1"/>
    <col min="13" max="13" width="51.44140625" style="29" customWidth="1"/>
    <col min="14" max="14" width="48.5546875" style="29" customWidth="1"/>
    <col min="15" max="16384" width="11.44140625" style="29"/>
  </cols>
  <sheetData>
    <row r="1" spans="1:19" ht="25.5" customHeight="1" thickBot="1" x14ac:dyDescent="0.3">
      <c r="A1" s="1145" t="s">
        <v>409</v>
      </c>
      <c r="B1" s="1146"/>
      <c r="C1" s="1146"/>
      <c r="D1" s="1146"/>
      <c r="E1" s="1146"/>
      <c r="F1" s="1146"/>
      <c r="G1" s="1146"/>
      <c r="H1" s="1146"/>
      <c r="I1" s="1146"/>
      <c r="J1" s="1146"/>
      <c r="K1" s="1146"/>
      <c r="L1" s="1147"/>
      <c r="M1" s="226" t="s">
        <v>377</v>
      </c>
      <c r="N1" s="34"/>
      <c r="O1" s="34"/>
      <c r="P1" s="34"/>
      <c r="Q1" s="34"/>
      <c r="R1" s="34"/>
      <c r="S1" s="34"/>
    </row>
    <row r="2" spans="1:19" ht="22.5" customHeight="1" thickBot="1" x14ac:dyDescent="0.3"/>
    <row r="3" spans="1:19" ht="45" customHeight="1" x14ac:dyDescent="0.25">
      <c r="A3" s="1162" t="s">
        <v>21</v>
      </c>
      <c r="B3" s="1160" t="s">
        <v>127</v>
      </c>
      <c r="C3" s="1154" t="s">
        <v>132</v>
      </c>
      <c r="D3" s="1155"/>
      <c r="E3" s="1155"/>
      <c r="F3" s="1155"/>
      <c r="G3" s="1156"/>
      <c r="H3" s="1164" t="s">
        <v>129</v>
      </c>
      <c r="I3" s="1157" t="s">
        <v>131</v>
      </c>
      <c r="J3" s="1158"/>
      <c r="K3" s="1158"/>
      <c r="L3" s="1159"/>
      <c r="M3" s="1166" t="s">
        <v>137</v>
      </c>
    </row>
    <row r="4" spans="1:19" ht="117" customHeight="1" x14ac:dyDescent="0.25">
      <c r="A4" s="1163"/>
      <c r="B4" s="1161"/>
      <c r="C4" s="623" t="s">
        <v>130</v>
      </c>
      <c r="D4" s="624" t="s">
        <v>429</v>
      </c>
      <c r="E4" s="624" t="s">
        <v>430</v>
      </c>
      <c r="F4" s="624" t="s">
        <v>128</v>
      </c>
      <c r="G4" s="625" t="s">
        <v>133</v>
      </c>
      <c r="H4" s="1165"/>
      <c r="I4" s="626" t="s">
        <v>134</v>
      </c>
      <c r="J4" s="627" t="s">
        <v>135</v>
      </c>
      <c r="K4" s="627" t="s">
        <v>22</v>
      </c>
      <c r="L4" s="628" t="s">
        <v>136</v>
      </c>
      <c r="M4" s="1167"/>
      <c r="N4" s="230" t="s">
        <v>338</v>
      </c>
    </row>
    <row r="5" spans="1:19" s="446" customFormat="1" ht="274.5" customHeight="1" x14ac:dyDescent="0.25">
      <c r="A5" s="629">
        <v>1</v>
      </c>
      <c r="B5" s="449" t="s">
        <v>645</v>
      </c>
      <c r="C5" s="617"/>
      <c r="D5" s="617"/>
      <c r="E5" s="617" t="s">
        <v>643</v>
      </c>
      <c r="F5" s="617"/>
      <c r="G5" s="617"/>
      <c r="H5" s="617" t="s">
        <v>646</v>
      </c>
      <c r="I5" s="617"/>
      <c r="J5" s="617"/>
      <c r="K5" s="617" t="s">
        <v>643</v>
      </c>
      <c r="L5" s="617"/>
      <c r="M5" s="617" t="s">
        <v>647</v>
      </c>
    </row>
    <row r="6" spans="1:19" s="446" customFormat="1" ht="281.25" customHeight="1" x14ac:dyDescent="0.25">
      <c r="A6" s="630">
        <v>2</v>
      </c>
      <c r="B6" s="449" t="s">
        <v>648</v>
      </c>
      <c r="C6" s="617"/>
      <c r="D6" s="617"/>
      <c r="E6" s="617" t="s">
        <v>643</v>
      </c>
      <c r="F6" s="617"/>
      <c r="G6" s="450"/>
      <c r="H6" s="617" t="s">
        <v>649</v>
      </c>
      <c r="I6" s="617"/>
      <c r="J6" s="617"/>
      <c r="K6" s="617" t="s">
        <v>655</v>
      </c>
      <c r="L6" s="617"/>
      <c r="M6" s="451" t="s">
        <v>650</v>
      </c>
    </row>
    <row r="7" spans="1:19" s="446" customFormat="1" ht="131.25" customHeight="1" x14ac:dyDescent="0.25">
      <c r="A7" s="630">
        <v>3</v>
      </c>
      <c r="B7" s="449" t="s">
        <v>651</v>
      </c>
      <c r="C7" s="450"/>
      <c r="D7" s="450"/>
      <c r="E7" s="449" t="s">
        <v>643</v>
      </c>
      <c r="F7" s="449"/>
      <c r="G7" s="617"/>
      <c r="H7" s="617" t="s">
        <v>652</v>
      </c>
      <c r="I7" s="617"/>
      <c r="J7" s="617"/>
      <c r="K7" s="617"/>
      <c r="L7" s="617" t="s">
        <v>643</v>
      </c>
      <c r="M7" s="452" t="s">
        <v>930</v>
      </c>
    </row>
    <row r="8" spans="1:19" s="446" customFormat="1" ht="298.5" customHeight="1" x14ac:dyDescent="0.25">
      <c r="A8" s="630">
        <v>4</v>
      </c>
      <c r="B8" s="449" t="s">
        <v>653</v>
      </c>
      <c r="C8" s="617"/>
      <c r="D8" s="617"/>
      <c r="E8" s="617" t="s">
        <v>643</v>
      </c>
      <c r="F8" s="617"/>
      <c r="G8" s="617"/>
      <c r="H8" s="449" t="s">
        <v>654</v>
      </c>
      <c r="I8" s="617"/>
      <c r="J8" s="617"/>
      <c r="K8" s="617"/>
      <c r="L8" s="617" t="s">
        <v>655</v>
      </c>
      <c r="M8" s="449" t="s">
        <v>656</v>
      </c>
    </row>
    <row r="9" spans="1:19" s="446" customFormat="1" ht="409.5" customHeight="1" x14ac:dyDescent="0.25">
      <c r="A9" s="630">
        <v>5</v>
      </c>
      <c r="B9" s="449" t="s">
        <v>657</v>
      </c>
      <c r="C9" s="449"/>
      <c r="D9" s="449"/>
      <c r="E9" s="449" t="s">
        <v>643</v>
      </c>
      <c r="F9" s="449"/>
      <c r="G9" s="617"/>
      <c r="H9" s="617" t="s">
        <v>658</v>
      </c>
      <c r="I9" s="617"/>
      <c r="J9" s="617"/>
      <c r="K9" s="617"/>
      <c r="L9" s="617" t="s">
        <v>643</v>
      </c>
      <c r="M9" s="451" t="s">
        <v>659</v>
      </c>
    </row>
    <row r="10" spans="1:19" s="446" customFormat="1" ht="150" customHeight="1" x14ac:dyDescent="0.25">
      <c r="A10" s="630">
        <v>6</v>
      </c>
      <c r="B10" s="449" t="s">
        <v>660</v>
      </c>
      <c r="C10" s="449"/>
      <c r="D10" s="449"/>
      <c r="E10" s="449"/>
      <c r="F10" s="449"/>
      <c r="G10" s="617"/>
      <c r="H10" s="617" t="s">
        <v>661</v>
      </c>
      <c r="I10" s="617"/>
      <c r="J10" s="617"/>
      <c r="K10" s="617" t="s">
        <v>655</v>
      </c>
      <c r="L10" s="617"/>
      <c r="M10" s="451" t="s">
        <v>662</v>
      </c>
    </row>
    <row r="11" spans="1:19" s="446" customFormat="1" ht="125.25" customHeight="1" x14ac:dyDescent="0.25">
      <c r="A11" s="630">
        <v>7</v>
      </c>
      <c r="B11" s="444" t="s">
        <v>663</v>
      </c>
      <c r="C11" s="444"/>
      <c r="D11" s="444"/>
      <c r="E11" s="444" t="s">
        <v>643</v>
      </c>
      <c r="F11" s="444"/>
      <c r="G11" s="616"/>
      <c r="H11" s="616" t="s">
        <v>664</v>
      </c>
      <c r="I11" s="616"/>
      <c r="J11" s="616"/>
      <c r="K11" s="616"/>
      <c r="L11" s="616" t="s">
        <v>655</v>
      </c>
      <c r="M11" s="448" t="s">
        <v>665</v>
      </c>
    </row>
    <row r="12" spans="1:19" s="446" customFormat="1" ht="69.75" customHeight="1" x14ac:dyDescent="0.25">
      <c r="A12" s="630">
        <v>8</v>
      </c>
      <c r="B12" s="444" t="s">
        <v>666</v>
      </c>
      <c r="C12" s="444"/>
      <c r="D12" s="444"/>
      <c r="E12" s="444" t="s">
        <v>643</v>
      </c>
      <c r="F12" s="444"/>
      <c r="G12" s="616"/>
      <c r="H12" s="616" t="s">
        <v>667</v>
      </c>
      <c r="I12" s="616"/>
      <c r="J12" s="616"/>
      <c r="K12" s="616" t="s">
        <v>643</v>
      </c>
      <c r="L12" s="616"/>
      <c r="M12" s="444" t="s">
        <v>668</v>
      </c>
    </row>
    <row r="13" spans="1:19" s="446" customFormat="1" ht="66.75" customHeight="1" x14ac:dyDescent="0.25">
      <c r="A13" s="630">
        <v>10</v>
      </c>
      <c r="B13" s="444" t="s">
        <v>669</v>
      </c>
      <c r="C13" s="447"/>
      <c r="D13" s="447"/>
      <c r="E13" s="447" t="s">
        <v>643</v>
      </c>
      <c r="F13" s="447"/>
      <c r="G13" s="447"/>
      <c r="H13" s="444" t="s">
        <v>670</v>
      </c>
      <c r="I13" s="447"/>
      <c r="J13" s="447"/>
      <c r="K13" s="447" t="s">
        <v>643</v>
      </c>
      <c r="L13" s="447"/>
      <c r="M13" s="444" t="s">
        <v>671</v>
      </c>
    </row>
    <row r="14" spans="1:19" s="446" customFormat="1" ht="192" customHeight="1" x14ac:dyDescent="0.25">
      <c r="A14" s="630">
        <v>11</v>
      </c>
      <c r="B14" s="449" t="s">
        <v>879</v>
      </c>
      <c r="C14" s="450"/>
      <c r="D14" s="450"/>
      <c r="E14" s="450" t="s">
        <v>643</v>
      </c>
      <c r="F14" s="450"/>
      <c r="G14" s="450"/>
      <c r="H14" s="449" t="s">
        <v>880</v>
      </c>
      <c r="I14" s="450"/>
      <c r="J14" s="450"/>
      <c r="K14" s="450"/>
      <c r="L14" s="450" t="s">
        <v>655</v>
      </c>
      <c r="M14" s="449" t="s">
        <v>881</v>
      </c>
    </row>
    <row r="15" spans="1:19" s="446" customFormat="1" ht="156.75" customHeight="1" x14ac:dyDescent="0.25">
      <c r="A15" s="630">
        <v>12</v>
      </c>
      <c r="B15" s="449" t="s">
        <v>882</v>
      </c>
      <c r="C15" s="450"/>
      <c r="D15" s="450"/>
      <c r="E15" s="450" t="s">
        <v>655</v>
      </c>
      <c r="F15" s="450"/>
      <c r="G15" s="450"/>
      <c r="H15" s="449" t="s">
        <v>883</v>
      </c>
      <c r="I15" s="450"/>
      <c r="J15" s="450"/>
      <c r="K15" s="450"/>
      <c r="L15" s="450" t="s">
        <v>655</v>
      </c>
      <c r="M15" s="449" t="s">
        <v>884</v>
      </c>
    </row>
    <row r="16" spans="1:19" s="446" customFormat="1" ht="344.25" customHeight="1" x14ac:dyDescent="0.25">
      <c r="A16" s="630">
        <v>13</v>
      </c>
      <c r="B16" s="449" t="s">
        <v>885</v>
      </c>
      <c r="C16" s="450"/>
      <c r="D16" s="450"/>
      <c r="E16" s="450" t="s">
        <v>655</v>
      </c>
      <c r="F16" s="450"/>
      <c r="G16" s="450"/>
      <c r="H16" s="618" t="s">
        <v>886</v>
      </c>
      <c r="I16" s="450"/>
      <c r="J16" s="450"/>
      <c r="K16" s="450" t="s">
        <v>655</v>
      </c>
      <c r="L16" s="450"/>
      <c r="M16" s="449" t="s">
        <v>932</v>
      </c>
    </row>
    <row r="17" spans="1:13" s="446" customFormat="1" ht="141" customHeight="1" x14ac:dyDescent="0.25">
      <c r="A17" s="630">
        <v>14</v>
      </c>
      <c r="B17" s="449" t="s">
        <v>887</v>
      </c>
      <c r="C17" s="450"/>
      <c r="D17" s="450"/>
      <c r="E17" s="450" t="s">
        <v>655</v>
      </c>
      <c r="F17" s="450"/>
      <c r="G17" s="450"/>
      <c r="H17" s="449" t="s">
        <v>888</v>
      </c>
      <c r="I17" s="450"/>
      <c r="J17" s="450"/>
      <c r="K17" s="450" t="s">
        <v>655</v>
      </c>
      <c r="L17" s="450"/>
      <c r="M17" s="449" t="s">
        <v>889</v>
      </c>
    </row>
    <row r="18" spans="1:13" s="446" customFormat="1" ht="319.5" customHeight="1" x14ac:dyDescent="0.25">
      <c r="A18" s="630">
        <v>15</v>
      </c>
      <c r="B18" s="449" t="s">
        <v>890</v>
      </c>
      <c r="C18" s="450"/>
      <c r="D18" s="450"/>
      <c r="E18" s="450" t="s">
        <v>643</v>
      </c>
      <c r="F18" s="450"/>
      <c r="G18" s="450"/>
      <c r="H18" s="449" t="s">
        <v>891</v>
      </c>
      <c r="I18" s="450"/>
      <c r="J18" s="450"/>
      <c r="K18" s="450" t="s">
        <v>655</v>
      </c>
      <c r="L18" s="450"/>
      <c r="M18" s="449" t="s">
        <v>931</v>
      </c>
    </row>
    <row r="19" spans="1:13" s="446" customFormat="1" ht="204" customHeight="1" x14ac:dyDescent="0.25">
      <c r="A19" s="630">
        <v>16</v>
      </c>
      <c r="B19" s="449" t="s">
        <v>892</v>
      </c>
      <c r="C19" s="450"/>
      <c r="D19" s="450"/>
      <c r="E19" s="450" t="s">
        <v>643</v>
      </c>
      <c r="F19" s="450"/>
      <c r="G19" s="450"/>
      <c r="H19" s="449" t="s">
        <v>893</v>
      </c>
      <c r="I19" s="450"/>
      <c r="J19" s="450"/>
      <c r="K19" s="450" t="s">
        <v>655</v>
      </c>
      <c r="L19" s="450"/>
      <c r="M19" s="449" t="s">
        <v>894</v>
      </c>
    </row>
    <row r="20" spans="1:13" s="446" customFormat="1" ht="125.25" customHeight="1" x14ac:dyDescent="0.25">
      <c r="A20" s="630">
        <v>17</v>
      </c>
      <c r="B20" s="449" t="s">
        <v>895</v>
      </c>
      <c r="C20" s="450"/>
      <c r="D20" s="450"/>
      <c r="E20" s="450" t="s">
        <v>643</v>
      </c>
      <c r="F20" s="450"/>
      <c r="G20" s="450"/>
      <c r="H20" s="449" t="s">
        <v>896</v>
      </c>
      <c r="I20" s="450"/>
      <c r="J20" s="450"/>
      <c r="K20" s="450" t="s">
        <v>655</v>
      </c>
      <c r="L20" s="450"/>
      <c r="M20" s="449" t="s">
        <v>897</v>
      </c>
    </row>
    <row r="21" spans="1:13" s="446" customFormat="1" ht="192" customHeight="1" x14ac:dyDescent="0.25">
      <c r="A21" s="630">
        <v>18</v>
      </c>
      <c r="B21" s="449" t="s">
        <v>898</v>
      </c>
      <c r="C21" s="450"/>
      <c r="D21" s="450"/>
      <c r="E21" s="450" t="s">
        <v>643</v>
      </c>
      <c r="F21" s="450"/>
      <c r="G21" s="450"/>
      <c r="H21" s="449" t="s">
        <v>899</v>
      </c>
      <c r="I21" s="450"/>
      <c r="J21" s="450"/>
      <c r="K21" s="450" t="s">
        <v>655</v>
      </c>
      <c r="L21" s="450"/>
      <c r="M21" s="449" t="s">
        <v>900</v>
      </c>
    </row>
    <row r="22" spans="1:13" s="446" customFormat="1" ht="239.25" customHeight="1" x14ac:dyDescent="0.25">
      <c r="A22" s="630">
        <v>19</v>
      </c>
      <c r="B22" s="449" t="s">
        <v>901</v>
      </c>
      <c r="C22" s="450"/>
      <c r="D22" s="450"/>
      <c r="E22" s="450" t="s">
        <v>643</v>
      </c>
      <c r="F22" s="450"/>
      <c r="G22" s="450"/>
      <c r="H22" s="449" t="s">
        <v>902</v>
      </c>
      <c r="I22" s="450"/>
      <c r="J22" s="450"/>
      <c r="K22" s="450" t="s">
        <v>655</v>
      </c>
      <c r="L22" s="450"/>
      <c r="M22" s="449" t="s">
        <v>903</v>
      </c>
    </row>
    <row r="23" spans="1:13" s="446" customFormat="1" ht="359.25" customHeight="1" x14ac:dyDescent="0.25">
      <c r="A23" s="630">
        <v>20</v>
      </c>
      <c r="B23" s="449" t="s">
        <v>904</v>
      </c>
      <c r="C23" s="450"/>
      <c r="D23" s="450"/>
      <c r="E23" s="450" t="s">
        <v>643</v>
      </c>
      <c r="F23" s="450"/>
      <c r="G23" s="450"/>
      <c r="H23" s="449" t="s">
        <v>905</v>
      </c>
      <c r="I23" s="450"/>
      <c r="J23" s="450"/>
      <c r="K23" s="450" t="s">
        <v>655</v>
      </c>
      <c r="L23" s="450"/>
      <c r="M23" s="449" t="s">
        <v>906</v>
      </c>
    </row>
    <row r="24" spans="1:13" s="446" customFormat="1" ht="243" customHeight="1" x14ac:dyDescent="0.25">
      <c r="A24" s="630">
        <v>21</v>
      </c>
      <c r="B24" s="449" t="s">
        <v>907</v>
      </c>
      <c r="C24" s="450"/>
      <c r="D24" s="450"/>
      <c r="E24" s="450" t="s">
        <v>655</v>
      </c>
      <c r="F24" s="450"/>
      <c r="G24" s="450"/>
      <c r="H24" s="449" t="s">
        <v>908</v>
      </c>
      <c r="I24" s="450"/>
      <c r="J24" s="450"/>
      <c r="K24" s="450" t="s">
        <v>655</v>
      </c>
      <c r="L24" s="450"/>
      <c r="M24" s="449" t="s">
        <v>909</v>
      </c>
    </row>
    <row r="25" spans="1:13" s="446" customFormat="1" ht="312" customHeight="1" x14ac:dyDescent="0.25">
      <c r="A25" s="630">
        <v>22</v>
      </c>
      <c r="B25" s="449" t="s">
        <v>910</v>
      </c>
      <c r="C25" s="450"/>
      <c r="D25" s="450"/>
      <c r="E25" s="450" t="s">
        <v>655</v>
      </c>
      <c r="F25" s="450"/>
      <c r="G25" s="450"/>
      <c r="H25" s="449" t="s">
        <v>911</v>
      </c>
      <c r="I25" s="450"/>
      <c r="J25" s="450"/>
      <c r="K25" s="450" t="s">
        <v>655</v>
      </c>
      <c r="L25" s="450"/>
      <c r="M25" s="449" t="s">
        <v>912</v>
      </c>
    </row>
    <row r="26" spans="1:13" s="446" customFormat="1" ht="290.25" customHeight="1" x14ac:dyDescent="0.25">
      <c r="A26" s="630">
        <v>23</v>
      </c>
      <c r="B26" s="449" t="s">
        <v>913</v>
      </c>
      <c r="C26" s="450"/>
      <c r="D26" s="450"/>
      <c r="E26" s="450" t="s">
        <v>655</v>
      </c>
      <c r="F26" s="450"/>
      <c r="G26" s="450"/>
      <c r="H26" s="449" t="s">
        <v>914</v>
      </c>
      <c r="I26" s="450"/>
      <c r="J26" s="450"/>
      <c r="K26" s="450" t="s">
        <v>655</v>
      </c>
      <c r="L26" s="450"/>
      <c r="M26" s="449" t="s">
        <v>915</v>
      </c>
    </row>
    <row r="27" spans="1:13" s="446" customFormat="1" ht="126" customHeight="1" x14ac:dyDescent="0.25">
      <c r="A27" s="630">
        <v>24</v>
      </c>
      <c r="B27" s="449" t="s">
        <v>916</v>
      </c>
      <c r="C27" s="450"/>
      <c r="D27" s="450"/>
      <c r="E27" s="450" t="s">
        <v>655</v>
      </c>
      <c r="F27" s="450"/>
      <c r="G27" s="450"/>
      <c r="H27" s="449" t="s">
        <v>917</v>
      </c>
      <c r="I27" s="450"/>
      <c r="J27" s="450"/>
      <c r="K27" s="450" t="s">
        <v>655</v>
      </c>
      <c r="L27" s="450"/>
      <c r="M27" s="449" t="s">
        <v>918</v>
      </c>
    </row>
    <row r="28" spans="1:13" s="446" customFormat="1" ht="409.6" customHeight="1" x14ac:dyDescent="0.25">
      <c r="A28" s="630">
        <v>25</v>
      </c>
      <c r="B28" s="449" t="s">
        <v>919</v>
      </c>
      <c r="C28" s="450"/>
      <c r="D28" s="450"/>
      <c r="E28" s="450" t="s">
        <v>643</v>
      </c>
      <c r="F28" s="450"/>
      <c r="G28" s="450"/>
      <c r="H28" s="449" t="s">
        <v>920</v>
      </c>
      <c r="I28" s="450"/>
      <c r="J28" s="450"/>
      <c r="K28" s="450" t="s">
        <v>655</v>
      </c>
      <c r="L28" s="450"/>
      <c r="M28" s="449" t="s">
        <v>933</v>
      </c>
    </row>
    <row r="29" spans="1:13" s="446" customFormat="1" ht="303.75" customHeight="1" x14ac:dyDescent="0.25">
      <c r="A29" s="630">
        <v>26</v>
      </c>
      <c r="B29" s="449" t="s">
        <v>921</v>
      </c>
      <c r="C29" s="450"/>
      <c r="D29" s="450"/>
      <c r="E29" s="450" t="s">
        <v>655</v>
      </c>
      <c r="F29" s="450"/>
      <c r="G29" s="450"/>
      <c r="H29" s="449" t="s">
        <v>922</v>
      </c>
      <c r="I29" s="450"/>
      <c r="J29" s="450"/>
      <c r="K29" s="450" t="s">
        <v>655</v>
      </c>
      <c r="L29" s="450"/>
      <c r="M29" s="449" t="s">
        <v>923</v>
      </c>
    </row>
    <row r="30" spans="1:13" s="446" customFormat="1" ht="230.25" customHeight="1" x14ac:dyDescent="0.25">
      <c r="A30" s="630">
        <v>27</v>
      </c>
      <c r="B30" s="449" t="s">
        <v>924</v>
      </c>
      <c r="C30" s="450"/>
      <c r="D30" s="450"/>
      <c r="E30" s="450" t="s">
        <v>643</v>
      </c>
      <c r="F30" s="450"/>
      <c r="G30" s="450"/>
      <c r="H30" s="449" t="s">
        <v>925</v>
      </c>
      <c r="I30" s="450"/>
      <c r="J30" s="450"/>
      <c r="K30" s="450" t="s">
        <v>655</v>
      </c>
      <c r="L30" s="450"/>
      <c r="M30" s="449" t="s">
        <v>926</v>
      </c>
    </row>
    <row r="31" spans="1:13" s="446" customFormat="1" ht="224.25" customHeight="1" x14ac:dyDescent="0.25">
      <c r="A31" s="630">
        <v>28</v>
      </c>
      <c r="B31" s="449" t="s">
        <v>927</v>
      </c>
      <c r="C31" s="450"/>
      <c r="D31" s="450"/>
      <c r="E31" s="450" t="s">
        <v>655</v>
      </c>
      <c r="F31" s="450"/>
      <c r="G31" s="450"/>
      <c r="H31" s="449" t="s">
        <v>928</v>
      </c>
      <c r="I31" s="450"/>
      <c r="J31" s="450"/>
      <c r="K31" s="450" t="s">
        <v>655</v>
      </c>
      <c r="L31" s="450"/>
      <c r="M31" s="449" t="s">
        <v>929</v>
      </c>
    </row>
    <row r="32" spans="1:13" ht="13.8" thickBot="1" x14ac:dyDescent="0.3"/>
    <row r="33" spans="1:13" x14ac:dyDescent="0.25">
      <c r="A33" s="1148" t="s">
        <v>428</v>
      </c>
      <c r="B33" s="1149"/>
      <c r="C33" s="1149"/>
      <c r="D33" s="1149"/>
      <c r="E33" s="1149"/>
      <c r="F33" s="1149"/>
      <c r="G33" s="1149"/>
      <c r="H33" s="1149"/>
      <c r="I33" s="1149"/>
      <c r="J33" s="1149"/>
      <c r="K33" s="1149"/>
      <c r="L33" s="1149"/>
      <c r="M33" s="1150"/>
    </row>
    <row r="34" spans="1:13" ht="24" customHeight="1" thickBot="1" x14ac:dyDescent="0.3">
      <c r="A34" s="1151"/>
      <c r="B34" s="1152"/>
      <c r="C34" s="1152"/>
      <c r="D34" s="1152"/>
      <c r="E34" s="1152"/>
      <c r="F34" s="1152"/>
      <c r="G34" s="1152"/>
      <c r="H34" s="1152"/>
      <c r="I34" s="1152"/>
      <c r="J34" s="1152"/>
      <c r="K34" s="1152"/>
      <c r="L34" s="1152"/>
      <c r="M34" s="1153"/>
    </row>
    <row r="35" spans="1:13" x14ac:dyDescent="0.25">
      <c r="A35" s="68"/>
      <c r="B35" s="68"/>
      <c r="C35" s="68"/>
      <c r="D35" s="68"/>
      <c r="E35" s="68"/>
      <c r="F35" s="68"/>
      <c r="G35" s="68"/>
      <c r="H35" s="68"/>
      <c r="I35" s="68"/>
      <c r="J35" s="68"/>
      <c r="K35" s="68"/>
      <c r="L35" s="68"/>
      <c r="M35" s="68"/>
    </row>
  </sheetData>
  <mergeCells count="8">
    <mergeCell ref="A1:L1"/>
    <mergeCell ref="A33:M34"/>
    <mergeCell ref="C3:G3"/>
    <mergeCell ref="I3:L3"/>
    <mergeCell ref="B3:B4"/>
    <mergeCell ref="A3:A4"/>
    <mergeCell ref="H3:H4"/>
    <mergeCell ref="M3:M4"/>
  </mergeCells>
  <pageMargins left="0.70866141732283472" right="0.70866141732283472" top="0.74803149606299213" bottom="0.74803149606299213" header="0.31496062992125984" footer="0.31496062992125984"/>
  <pageSetup scale="6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17</vt:i4>
      </vt:variant>
    </vt:vector>
  </HeadingPairs>
  <TitlesOfParts>
    <vt:vector size="39" baseType="lpstr">
      <vt:lpstr>Carátula</vt:lpstr>
      <vt:lpstr>Contenidos PEI-POM-POA</vt:lpstr>
      <vt:lpstr>Introducción</vt:lpstr>
      <vt:lpstr>SPPD-01 Mandatos </vt:lpstr>
      <vt:lpstr>SPPD-02 AnalisisPolíticas</vt:lpstr>
      <vt:lpstr>SPPD-04  Ident. Prior. de Prob.</vt:lpstr>
      <vt:lpstr>SPPD-05 Población</vt:lpstr>
      <vt:lpstr>Lista a seleccionar</vt:lpstr>
      <vt:lpstr>SPPD-06 Evidencias</vt:lpstr>
      <vt:lpstr>SPPD-7 Matriz PEI</vt:lpstr>
      <vt:lpstr>SPPD-8 Ficha Indicador</vt:lpstr>
      <vt:lpstr>SPPD-9 Visión, Misión, Valores</vt:lpstr>
      <vt:lpstr>SPPD-10 FODA</vt:lpstr>
      <vt:lpstr>SPPD-11 Análisis de Actores</vt:lpstr>
      <vt:lpstr>SPPD-12 POM</vt:lpstr>
      <vt:lpstr>SPPD-13 Ficha Seguimiento POM</vt:lpstr>
      <vt:lpstr>SPPD-14 POA</vt:lpstr>
      <vt:lpstr>SPPD-15PROG. MENS PROD.SUBP ACC</vt:lpstr>
      <vt:lpstr>SPPD-16 Ficha Seguimiento POA </vt:lpstr>
      <vt:lpstr>Anexo-2 Clasif.Tematicos</vt:lpstr>
      <vt:lpstr>Vinculación Intitucional</vt:lpstr>
      <vt:lpstr>Hoja1</vt:lpstr>
      <vt:lpstr>'Anexo-2 Clasif.Tematicos'!Área_de_impresión</vt:lpstr>
      <vt:lpstr>'SPPD-01 Mandatos '!Área_de_impresión</vt:lpstr>
      <vt:lpstr>'SPPD-02 AnalisisPolíticas'!Área_de_impresión</vt:lpstr>
      <vt:lpstr>'SPPD-04  Ident. Prior. de Prob.'!Área_de_impresión</vt:lpstr>
      <vt:lpstr>'SPPD-06 Evidencias'!Área_de_impresión</vt:lpstr>
      <vt:lpstr>'SPPD-11 Análisis de Actores'!Área_de_impresión</vt:lpstr>
      <vt:lpstr>'SPPD-13 Ficha Seguimiento POM'!Área_de_impresión</vt:lpstr>
      <vt:lpstr>'SPPD-15PROG. MENS PROD.SUBP ACC'!Área_de_impresión</vt:lpstr>
      <vt:lpstr>'SPPD-16 Ficha Seguimiento POA '!Área_de_impresión</vt:lpstr>
      <vt:lpstr>'SPPD-7 Matriz PEI'!Área_de_impresión</vt:lpstr>
      <vt:lpstr>'SPPD-8 Ficha Indicador'!Área_de_impresión</vt:lpstr>
      <vt:lpstr>'SPPD-9 Visión, Misión, Valores'!Área_de_impresión</vt:lpstr>
      <vt:lpstr>'SPPD-04  Ident. Prior. de Prob.'!OLE_LINK5</vt:lpstr>
      <vt:lpstr>'Anexo-2 Clasif.Tematicos'!Títulos_a_imprimir</vt:lpstr>
      <vt:lpstr>'SPPD-04  Ident. Prior. de Prob.'!Títulos_a_imprimir</vt:lpstr>
      <vt:lpstr>'SPPD-15PROG. MENS PROD.SUBP ACC'!Títulos_a_imprimir</vt:lpstr>
      <vt:lpstr>'SPPD-8 Ficha Indicador'!Títulos_a_imprimir</vt:lpstr>
    </vt:vector>
  </TitlesOfParts>
  <Company>SEGEPLAN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y Edvan</dc:creator>
  <cp:lastModifiedBy>Gerson Estuardo Gamez Paz</cp:lastModifiedBy>
  <cp:lastPrinted>2021-02-19T19:02:05Z</cp:lastPrinted>
  <dcterms:created xsi:type="dcterms:W3CDTF">2009-04-07T15:58:13Z</dcterms:created>
  <dcterms:modified xsi:type="dcterms:W3CDTF">2021-02-23T20:39:48Z</dcterms:modified>
</cp:coreProperties>
</file>